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Daman\Dropbox\0_DMN\Activity 2026\9_7_EDRA Legal Training\"/>
    </mc:Choice>
  </mc:AlternateContent>
  <xr:revisionPtr revIDLastSave="0" documentId="13_ncr:1_{FFFC35EF-9E87-4232-BC76-5DE3DE841E1D}" xr6:coauthVersionLast="47" xr6:coauthVersionMax="47" xr10:uidLastSave="{00000000-0000-0000-0000-000000000000}"/>
  <bookViews>
    <workbookView xWindow="-110" yWindow="-110" windowWidth="19420" windowHeight="11500" tabRatio="746" xr2:uid="{C4EEF73E-9927-4C87-868A-DDC3D0462B54}"/>
  </bookViews>
  <sheets>
    <sheet name="Main" sheetId="41" r:id="rId1"/>
    <sheet name="Home" sheetId="1" r:id="rId2"/>
    <sheet name="Dashboard" sheetId="40" r:id="rId3"/>
    <sheet name="Dashboard_Data" sheetId="39" state="hidden" r:id="rId4"/>
    <sheet name="back-data" sheetId="2" state="hidden" r:id="rId5"/>
    <sheet name="Action_Tracker" sheetId="47" r:id="rId6"/>
    <sheet name="Legal" sheetId="42" r:id="rId7"/>
    <sheet name="Abbreviation " sheetId="43" r:id="rId8"/>
    <sheet name="Dashboard_Input" sheetId="37" state="hidden" r:id="rId9"/>
    <sheet name="dashboard image" sheetId="36" state="hidden" r:id="rId10"/>
    <sheet name="Action_Tracker_Data" sheetId="45" state="hidden" r:id="rId11"/>
    <sheet name="OSHA" sheetId="3" r:id="rId12"/>
    <sheet name="EQA" sheetId="4" r:id="rId13"/>
    <sheet name="WSIA" sheetId="27" r:id="rId14"/>
    <sheet name="CIDB" sheetId="31" r:id="rId15"/>
    <sheet name="button" sheetId="34" state="hidden" r:id="rId16"/>
    <sheet name="Pesticides" sheetId="28" r:id="rId17"/>
    <sheet name="FSA" sheetId="32" r:id="rId18"/>
    <sheet name="sewerage" sheetId="24" r:id="rId19"/>
    <sheet name="diesel engine" sheetId="11" r:id="rId20"/>
    <sheet name="SW" sheetId="13" r:id="rId21"/>
    <sheet name="Control of Petrol &amp; Diesel" sheetId="14" r:id="rId22"/>
    <sheet name="solid waste" sheetId="10" r:id="rId23"/>
    <sheet name="clean air" sheetId="8" r:id="rId24"/>
    <sheet name="effluent" sheetId="21" r:id="rId25"/>
    <sheet name="USECHH" sheetId="5" r:id="rId26"/>
    <sheet name="CF" sheetId="18" r:id="rId27"/>
    <sheet name="pesticides labelling" sheetId="29" r:id="rId28"/>
    <sheet name="CLASS" sheetId="15" r:id="rId29"/>
    <sheet name="NADOPOD" sheetId="16" r:id="rId30"/>
    <sheet name="noise" sheetId="6" r:id="rId31"/>
    <sheet name="shc" sheetId="7" r:id="rId32"/>
    <sheet name="CDM" sheetId="17" r:id="rId33"/>
    <sheet name="FC" sheetId="33" r:id="rId34"/>
    <sheet name="sewage" sheetId="20" r:id="rId35"/>
    <sheet name="refrigerant" sheetId="12" r:id="rId36"/>
    <sheet name="sewerage system" sheetId="26" r:id="rId37"/>
    <sheet name="MHA" sheetId="35" r:id="rId38"/>
    <sheet name="UBBL" sheetId="46" r:id="rId39"/>
    <sheet name="ICOP Transport" sheetId="19" r:id="rId40"/>
    <sheet name="user manual" sheetId="30" r:id="rId41"/>
  </sheets>
  <definedNames>
    <definedName name="_xlnm.Print_Area" localSheetId="4">'back-data'!$A$18:$C$86</definedName>
    <definedName name="_xlnm.Print_Area" localSheetId="1">Home!$A$1:$I$324</definedName>
    <definedName name="Priority_Legal_Areas_for_Management_Review">Dashboard!$B$29</definedName>
    <definedName name="Regulation_39___Appoint_a_competent_Site_Safety_Supervisor__SSS__to_assist_compliance_with_CDM_Regulations.">CDM!$B$39</definedName>
    <definedName name="Section_15___Maintain_workplace__access_and_egress_in_safe_condition">OSHA!$B$7</definedName>
    <definedName name="Section_15___Provide_information__instruction__training_and_supervision_to_employees">OSHA!$B$6</definedName>
    <definedName name="Section_17___Ensure_activities_do_not_expose_non_employees_to_safety_and_health_risks">OSHA!$B$11</definedName>
    <definedName name="Section_18B___Conduct_and_implement_risk_assessment_at_workplace">OSHA!$B$15</definedName>
    <definedName name="Section_29___Appointment_of_Safety_and_Health_Officer">OSHA!$B$22</definedName>
    <definedName name="Section_29A___Appointment_of_OSH_Coordinator_at_workplace">OSHA!$B$23</definedName>
    <definedName name="Section_30___Establish_Safety_and_Health_Committee_where_required">OSHA!$B$24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40" l="1"/>
  <c r="D4" i="40"/>
  <c r="R3" i="41"/>
  <c r="C65" i="2"/>
  <c r="D261" i="1" s="1"/>
  <c r="C64" i="2"/>
  <c r="D260" i="1" s="1"/>
  <c r="J21" i="40"/>
  <c r="F11" i="3"/>
  <c r="K12" i="47" s="1"/>
  <c r="L391" i="47"/>
  <c r="K391" i="47"/>
  <c r="L390" i="47"/>
  <c r="K390" i="47"/>
  <c r="L389" i="47"/>
  <c r="K389" i="47"/>
  <c r="L388" i="47"/>
  <c r="K388" i="47"/>
  <c r="L387" i="47"/>
  <c r="K387" i="47"/>
  <c r="L386" i="47"/>
  <c r="K386" i="47"/>
  <c r="L385" i="47"/>
  <c r="K385" i="47"/>
  <c r="L384" i="47"/>
  <c r="K384" i="47"/>
  <c r="L383" i="47"/>
  <c r="K383" i="47"/>
  <c r="L169" i="47"/>
  <c r="K169" i="47"/>
  <c r="L168" i="47"/>
  <c r="K168" i="47"/>
  <c r="L167" i="47"/>
  <c r="K167" i="47"/>
  <c r="L166" i="47"/>
  <c r="K166" i="47"/>
  <c r="L165" i="47"/>
  <c r="K165" i="47"/>
  <c r="L164" i="47"/>
  <c r="K164" i="47"/>
  <c r="L163" i="47"/>
  <c r="K163" i="47"/>
  <c r="L162" i="47"/>
  <c r="K162" i="47"/>
  <c r="L161" i="47"/>
  <c r="K161" i="47"/>
  <c r="L160" i="47"/>
  <c r="K160" i="47"/>
  <c r="L159" i="47"/>
  <c r="K159" i="47"/>
  <c r="L158" i="47"/>
  <c r="K158" i="47"/>
  <c r="L157" i="47"/>
  <c r="K157" i="47"/>
  <c r="L156" i="47"/>
  <c r="K156" i="47"/>
  <c r="L155" i="47"/>
  <c r="K155" i="47"/>
  <c r="L154" i="47"/>
  <c r="K154" i="47"/>
  <c r="L153" i="47"/>
  <c r="K153" i="47"/>
  <c r="L152" i="47"/>
  <c r="K152" i="47"/>
  <c r="L151" i="47"/>
  <c r="K151" i="47"/>
  <c r="L150" i="47"/>
  <c r="K150" i="47"/>
  <c r="L146" i="47"/>
  <c r="K146" i="47"/>
  <c r="L145" i="47"/>
  <c r="K145" i="47"/>
  <c r="L144" i="47"/>
  <c r="K144" i="47"/>
  <c r="L143" i="47"/>
  <c r="K143" i="47"/>
  <c r="L142" i="47"/>
  <c r="K142" i="47"/>
  <c r="L58" i="47"/>
  <c r="K58" i="47"/>
  <c r="L56" i="47"/>
  <c r="K56" i="47"/>
  <c r="L55" i="47"/>
  <c r="K55" i="47"/>
  <c r="L54" i="47"/>
  <c r="K54" i="47"/>
  <c r="L53" i="47"/>
  <c r="K53" i="47"/>
  <c r="L52" i="47"/>
  <c r="K52" i="47"/>
  <c r="L51" i="47"/>
  <c r="K51" i="47"/>
  <c r="L50" i="47"/>
  <c r="K50" i="47"/>
  <c r="L45" i="47"/>
  <c r="K45" i="47"/>
  <c r="L44" i="47"/>
  <c r="K44" i="47"/>
  <c r="L43" i="47"/>
  <c r="K43" i="47"/>
  <c r="L42" i="47"/>
  <c r="K42" i="47"/>
  <c r="L41" i="47"/>
  <c r="K41" i="47"/>
  <c r="L40" i="47"/>
  <c r="K40" i="47"/>
  <c r="L39" i="47"/>
  <c r="K39" i="47"/>
  <c r="L38" i="47"/>
  <c r="K38" i="47"/>
  <c r="L37" i="47"/>
  <c r="K37" i="47"/>
  <c r="L36" i="47"/>
  <c r="K36" i="47"/>
  <c r="L35" i="47"/>
  <c r="K35" i="47"/>
  <c r="L34" i="47"/>
  <c r="K34" i="47"/>
  <c r="L33" i="47"/>
  <c r="K33" i="47"/>
  <c r="L32" i="47"/>
  <c r="K32" i="47"/>
  <c r="L31" i="47"/>
  <c r="K31" i="47"/>
  <c r="L30" i="47"/>
  <c r="K30" i="47"/>
  <c r="L29" i="47"/>
  <c r="K29" i="47"/>
  <c r="L28" i="47"/>
  <c r="K28" i="47"/>
  <c r="L27" i="47"/>
  <c r="K27" i="47"/>
  <c r="L22" i="47"/>
  <c r="K22" i="47"/>
  <c r="L21" i="47"/>
  <c r="K21" i="47"/>
  <c r="L20" i="47"/>
  <c r="K20" i="47"/>
  <c r="L19" i="47"/>
  <c r="K19" i="47"/>
  <c r="L16" i="47"/>
  <c r="K16" i="47"/>
  <c r="L15" i="47"/>
  <c r="K15" i="47"/>
  <c r="L14" i="47"/>
  <c r="K14" i="47"/>
  <c r="L13" i="47"/>
  <c r="K13" i="47"/>
  <c r="L11" i="47"/>
  <c r="K11" i="47"/>
  <c r="L10" i="47"/>
  <c r="K10" i="47"/>
  <c r="L9" i="47"/>
  <c r="K9" i="47"/>
  <c r="L8" i="47"/>
  <c r="K8" i="47"/>
  <c r="L7" i="47"/>
  <c r="K7" i="47"/>
  <c r="L6" i="47"/>
  <c r="K6" i="47"/>
  <c r="L5" i="47"/>
  <c r="K5" i="47"/>
  <c r="J15" i="4"/>
  <c r="F15" i="4"/>
  <c r="F13" i="3"/>
  <c r="F5" i="3"/>
  <c r="F31" i="32"/>
  <c r="F31" i="4"/>
  <c r="J31" i="4"/>
  <c r="I31" i="4"/>
  <c r="H31" i="4"/>
  <c r="G31" i="4"/>
  <c r="F28" i="4"/>
  <c r="F25" i="4"/>
  <c r="F5" i="4"/>
  <c r="F29" i="3"/>
  <c r="F4" i="3"/>
  <c r="F6" i="4"/>
  <c r="F6" i="3"/>
  <c r="F8" i="4"/>
  <c r="F4" i="4"/>
  <c r="C29" i="39"/>
  <c r="C4" i="46"/>
  <c r="K261" i="1"/>
  <c r="K260" i="1"/>
  <c r="D75" i="2"/>
  <c r="D74" i="2"/>
  <c r="D65" i="2"/>
  <c r="D64" i="2"/>
  <c r="A65" i="2"/>
  <c r="A64" i="2"/>
  <c r="J261" i="1"/>
  <c r="J260" i="1"/>
  <c r="F7" i="3"/>
  <c r="C22" i="3"/>
  <c r="F22" i="3" s="1"/>
  <c r="F28" i="3"/>
  <c r="C24" i="3"/>
  <c r="C25" i="3"/>
  <c r="O17" i="1"/>
  <c r="C23" i="3" s="1"/>
  <c r="F23" i="3" s="1"/>
  <c r="F4" i="6"/>
  <c r="F10" i="16"/>
  <c r="F9" i="16"/>
  <c r="F8" i="16"/>
  <c r="F7" i="16"/>
  <c r="F6" i="16"/>
  <c r="F5" i="16"/>
  <c r="F4" i="16"/>
  <c r="F30" i="32"/>
  <c r="F29" i="32"/>
  <c r="F28" i="32"/>
  <c r="F27" i="32"/>
  <c r="F26" i="32"/>
  <c r="F25" i="32"/>
  <c r="F24" i="32"/>
  <c r="F23" i="32"/>
  <c r="F22" i="32"/>
  <c r="F21" i="32"/>
  <c r="F20" i="32"/>
  <c r="F19" i="32"/>
  <c r="F18" i="32"/>
  <c r="F17" i="32"/>
  <c r="F16" i="32"/>
  <c r="F15" i="32"/>
  <c r="F14" i="32"/>
  <c r="F13" i="32"/>
  <c r="F12" i="32"/>
  <c r="F5" i="32"/>
  <c r="F4" i="32"/>
  <c r="F27" i="3"/>
  <c r="F26" i="3"/>
  <c r="F21" i="3"/>
  <c r="F20" i="3"/>
  <c r="F19" i="3"/>
  <c r="F18" i="3"/>
  <c r="F15" i="3"/>
  <c r="F14" i="3"/>
  <c r="F12" i="3"/>
  <c r="F10" i="3"/>
  <c r="F9" i="3"/>
  <c r="F8" i="3"/>
  <c r="A321" i="1"/>
  <c r="A315" i="1"/>
  <c r="A309" i="1"/>
  <c r="A303" i="1"/>
  <c r="A295" i="1"/>
  <c r="A289" i="1"/>
  <c r="A283" i="1"/>
  <c r="A244" i="1"/>
  <c r="A238" i="1"/>
  <c r="A232" i="1"/>
  <c r="A226" i="1"/>
  <c r="A220" i="1"/>
  <c r="A211" i="1"/>
  <c r="A205" i="1"/>
  <c r="A199" i="1"/>
  <c r="A193" i="1"/>
  <c r="A187" i="1"/>
  <c r="A181" i="1"/>
  <c r="A175" i="1"/>
  <c r="A165" i="1"/>
  <c r="A158" i="1"/>
  <c r="A152" i="1"/>
  <c r="A146" i="1"/>
  <c r="A139" i="1"/>
  <c r="A133" i="1"/>
  <c r="A125" i="1"/>
  <c r="A119" i="1"/>
  <c r="K319" i="1"/>
  <c r="K313" i="1"/>
  <c r="K307" i="1"/>
  <c r="K301" i="1"/>
  <c r="K287" i="1"/>
  <c r="K281" i="1"/>
  <c r="K242" i="1"/>
  <c r="K236" i="1"/>
  <c r="K230" i="1"/>
  <c r="K224" i="1"/>
  <c r="K218" i="1"/>
  <c r="K209" i="1"/>
  <c r="K203" i="1"/>
  <c r="K197" i="1"/>
  <c r="K191" i="1"/>
  <c r="K185" i="1"/>
  <c r="K179" i="1"/>
  <c r="K173" i="1"/>
  <c r="K156" i="1"/>
  <c r="K150" i="1"/>
  <c r="K144" i="1"/>
  <c r="K137" i="1"/>
  <c r="K131" i="1"/>
  <c r="K123" i="1"/>
  <c r="K117" i="1"/>
  <c r="K111" i="1"/>
  <c r="K105" i="1"/>
  <c r="K99" i="1"/>
  <c r="K87" i="1"/>
  <c r="K81" i="1"/>
  <c r="K75" i="1"/>
  <c r="K69" i="1"/>
  <c r="K61" i="1"/>
  <c r="K55" i="1"/>
  <c r="J262" i="1"/>
  <c r="K258" i="1" s="1"/>
  <c r="J250" i="1"/>
  <c r="K248" i="1" s="1"/>
  <c r="K276" i="1"/>
  <c r="K275" i="1"/>
  <c r="K274" i="1"/>
  <c r="K273" i="1"/>
  <c r="K272" i="1"/>
  <c r="K271" i="1"/>
  <c r="K270" i="1"/>
  <c r="K269" i="1"/>
  <c r="K268" i="1"/>
  <c r="K267" i="1"/>
  <c r="K266" i="1"/>
  <c r="K265" i="1"/>
  <c r="K264" i="1"/>
  <c r="K263" i="1"/>
  <c r="K262" i="1"/>
  <c r="K256" i="1"/>
  <c r="K255" i="1"/>
  <c r="K254" i="1"/>
  <c r="K253" i="1"/>
  <c r="K252" i="1"/>
  <c r="K251" i="1"/>
  <c r="K250" i="1"/>
  <c r="K49" i="1"/>
  <c r="K43" i="1"/>
  <c r="K35" i="1"/>
  <c r="A20" i="1"/>
  <c r="K23" i="1"/>
  <c r="J16" i="1"/>
  <c r="K16" i="1" s="1"/>
  <c r="A17" i="1"/>
  <c r="A16" i="1"/>
  <c r="A18" i="1"/>
  <c r="A19" i="1"/>
  <c r="C30" i="4"/>
  <c r="F30" i="4" s="1"/>
  <c r="C20" i="4"/>
  <c r="F20" i="4" s="1"/>
  <c r="C19" i="4"/>
  <c r="K293" i="1"/>
  <c r="K163" i="1"/>
  <c r="K93" i="1"/>
  <c r="D5" i="40"/>
  <c r="C9" i="37"/>
  <c r="A113" i="1"/>
  <c r="A107" i="1"/>
  <c r="A101" i="1"/>
  <c r="A95" i="1"/>
  <c r="A89" i="1"/>
  <c r="A83" i="1"/>
  <c r="A77" i="1"/>
  <c r="A71" i="1"/>
  <c r="A63" i="1"/>
  <c r="A57" i="1"/>
  <c r="A51" i="1"/>
  <c r="A45" i="1"/>
  <c r="A37" i="1"/>
  <c r="A31" i="1"/>
  <c r="A26" i="1"/>
  <c r="K29" i="1"/>
  <c r="C8" i="37"/>
  <c r="C2" i="39"/>
  <c r="B2" i="40"/>
  <c r="C7" i="37"/>
  <c r="B79" i="37"/>
  <c r="B75" i="37"/>
  <c r="B78" i="37"/>
  <c r="F41" i="37"/>
  <c r="F39" i="37"/>
  <c r="F38" i="37"/>
  <c r="F32" i="37"/>
  <c r="F30" i="37"/>
  <c r="F29" i="37"/>
  <c r="F28" i="37"/>
  <c r="F52" i="37"/>
  <c r="F51" i="37"/>
  <c r="F50" i="37"/>
  <c r="F49" i="37"/>
  <c r="F48" i="37"/>
  <c r="F47" i="37"/>
  <c r="F46" i="37"/>
  <c r="F45" i="37"/>
  <c r="F44" i="37"/>
  <c r="F43" i="37"/>
  <c r="F42" i="37"/>
  <c r="F40" i="37"/>
  <c r="F37" i="37"/>
  <c r="F36" i="37"/>
  <c r="F35" i="37"/>
  <c r="F34" i="37"/>
  <c r="F33" i="37"/>
  <c r="F31" i="37"/>
  <c r="F27" i="37"/>
  <c r="F26" i="37"/>
  <c r="J18" i="40"/>
  <c r="C17" i="39"/>
  <c r="C15" i="39"/>
  <c r="C14" i="39"/>
  <c r="C8" i="39"/>
  <c r="C6" i="39"/>
  <c r="C5" i="39"/>
  <c r="C4" i="39"/>
  <c r="C28" i="39"/>
  <c r="C27" i="39"/>
  <c r="C26" i="39"/>
  <c r="C25" i="39"/>
  <c r="C24" i="39"/>
  <c r="C23" i="39"/>
  <c r="C22" i="39"/>
  <c r="C21" i="39"/>
  <c r="C20" i="39"/>
  <c r="C19" i="39"/>
  <c r="C18" i="39"/>
  <c r="C16" i="39"/>
  <c r="C13" i="39"/>
  <c r="C12" i="39"/>
  <c r="C11" i="39"/>
  <c r="C10" i="39"/>
  <c r="C9" i="39"/>
  <c r="C7" i="39"/>
  <c r="C3" i="39"/>
  <c r="A70" i="37"/>
  <c r="A69" i="37"/>
  <c r="A68" i="37"/>
  <c r="A67" i="37"/>
  <c r="A66" i="37"/>
  <c r="C11" i="16"/>
  <c r="C19" i="28"/>
  <c r="F19" i="28" s="1"/>
  <c r="C18" i="28"/>
  <c r="F18" i="28" s="1"/>
  <c r="C17" i="28"/>
  <c r="F17" i="28" s="1"/>
  <c r="C16" i="28"/>
  <c r="F16" i="28" s="1"/>
  <c r="C15" i="28"/>
  <c r="F15" i="28" s="1"/>
  <c r="C14" i="28"/>
  <c r="F14" i="28" s="1"/>
  <c r="C13" i="28"/>
  <c r="F13" i="28" s="1"/>
  <c r="C12" i="28"/>
  <c r="F12" i="28" s="1"/>
  <c r="C11" i="28"/>
  <c r="F11" i="28" s="1"/>
  <c r="C10" i="28"/>
  <c r="F10" i="28" s="1"/>
  <c r="C9" i="28"/>
  <c r="F9" i="28" s="1"/>
  <c r="C8" i="28"/>
  <c r="F8" i="28" s="1"/>
  <c r="C7" i="28"/>
  <c r="F7" i="28" s="1"/>
  <c r="C6" i="28"/>
  <c r="F6" i="28" s="1"/>
  <c r="C5" i="28"/>
  <c r="F5" i="28" s="1"/>
  <c r="B106" i="2"/>
  <c r="B105" i="2"/>
  <c r="B104" i="2"/>
  <c r="B103" i="2"/>
  <c r="B102" i="2"/>
  <c r="B101" i="2"/>
  <c r="B100" i="2"/>
  <c r="B99" i="2"/>
  <c r="C99" i="2"/>
  <c r="D83" i="2"/>
  <c r="D80" i="2"/>
  <c r="D79" i="2"/>
  <c r="D78" i="2"/>
  <c r="D77" i="2"/>
  <c r="D76" i="2"/>
  <c r="D73" i="2"/>
  <c r="D72" i="2"/>
  <c r="D71" i="2"/>
  <c r="D70" i="2"/>
  <c r="D69" i="2"/>
  <c r="D68" i="2"/>
  <c r="D67" i="2"/>
  <c r="D66" i="2"/>
  <c r="D52" i="2"/>
  <c r="D51" i="2"/>
  <c r="D50" i="2"/>
  <c r="D49" i="2"/>
  <c r="D48" i="2"/>
  <c r="D47" i="2"/>
  <c r="D46" i="2"/>
  <c r="D44" i="2"/>
  <c r="D43" i="2"/>
  <c r="D42" i="2"/>
  <c r="D41" i="2"/>
  <c r="D40" i="2"/>
  <c r="D39" i="2"/>
  <c r="D38" i="2"/>
  <c r="D37" i="2"/>
  <c r="D36" i="2"/>
  <c r="D35" i="2"/>
  <c r="D34" i="2"/>
  <c r="D33" i="2"/>
  <c r="D32" i="2"/>
  <c r="D31" i="2"/>
  <c r="D30" i="2"/>
  <c r="D29" i="2"/>
  <c r="D27" i="2"/>
  <c r="D28" i="2"/>
  <c r="C4" i="15"/>
  <c r="C4" i="24"/>
  <c r="C4" i="26"/>
  <c r="C4" i="28"/>
  <c r="F4" i="28" s="1"/>
  <c r="C4" i="29"/>
  <c r="F4" i="29" s="1"/>
  <c r="C4" i="19"/>
  <c r="F4" i="19" s="1"/>
  <c r="C4" i="31"/>
  <c r="F4" i="31" s="1"/>
  <c r="C6" i="5"/>
  <c r="F6" i="5" s="1"/>
  <c r="C5" i="5"/>
  <c r="F5" i="5" s="1"/>
  <c r="C4" i="5"/>
  <c r="F4" i="5" s="1"/>
  <c r="C4" i="8"/>
  <c r="F4" i="8" s="1"/>
  <c r="C4" i="14"/>
  <c r="F4" i="14" s="1"/>
  <c r="C4" i="21"/>
  <c r="F4" i="21" s="1"/>
  <c r="C4" i="18"/>
  <c r="F4" i="18" s="1"/>
  <c r="C4" i="13"/>
  <c r="F4" i="13" s="1"/>
  <c r="C4" i="27"/>
  <c r="F4" i="27" s="1"/>
  <c r="C4" i="35"/>
  <c r="F4" i="35" s="1"/>
  <c r="C27" i="2"/>
  <c r="D69" i="1" s="1"/>
  <c r="A27" i="2"/>
  <c r="C4" i="12"/>
  <c r="F4" i="12" s="1"/>
  <c r="C4" i="11"/>
  <c r="F4" i="11" s="1"/>
  <c r="C4" i="10"/>
  <c r="F4" i="10" s="1"/>
  <c r="C87" i="2"/>
  <c r="D319" i="1" s="1"/>
  <c r="A87" i="2"/>
  <c r="C5" i="20"/>
  <c r="F5" i="20" s="1"/>
  <c r="C4" i="20"/>
  <c r="C4" i="33"/>
  <c r="C9" i="32"/>
  <c r="F9" i="32" s="1"/>
  <c r="C6" i="32"/>
  <c r="C5" i="17"/>
  <c r="F5" i="17" s="1"/>
  <c r="C4" i="17"/>
  <c r="C5" i="6"/>
  <c r="R63" i="2"/>
  <c r="R55" i="2"/>
  <c r="BA1" i="34"/>
  <c r="AZ1" i="34"/>
  <c r="AY1" i="34"/>
  <c r="AX1" i="34"/>
  <c r="AW1" i="34"/>
  <c r="AV1" i="34"/>
  <c r="AU1" i="34"/>
  <c r="AT1" i="34"/>
  <c r="AS1" i="34"/>
  <c r="AR1" i="34"/>
  <c r="AQ1" i="34"/>
  <c r="AP1" i="34"/>
  <c r="AO1" i="34"/>
  <c r="AN1" i="34"/>
  <c r="AM1" i="34"/>
  <c r="H29" i="34"/>
  <c r="H28" i="34"/>
  <c r="H27" i="34"/>
  <c r="H26" i="34"/>
  <c r="H25" i="34"/>
  <c r="H24" i="34"/>
  <c r="H23" i="34"/>
  <c r="H22" i="34"/>
  <c r="H21" i="34"/>
  <c r="H20" i="34"/>
  <c r="H19" i="34"/>
  <c r="H18" i="34"/>
  <c r="H17" i="34"/>
  <c r="H16" i="34"/>
  <c r="H15" i="34"/>
  <c r="H14" i="34"/>
  <c r="H13" i="34"/>
  <c r="H12" i="34"/>
  <c r="H11" i="34"/>
  <c r="H10" i="34"/>
  <c r="H9" i="34"/>
  <c r="H8" i="34"/>
  <c r="H7" i="34"/>
  <c r="H6" i="34"/>
  <c r="H5" i="34"/>
  <c r="H4" i="34"/>
  <c r="H3" i="34"/>
  <c r="Q86" i="2"/>
  <c r="P86" i="2"/>
  <c r="Q85" i="2"/>
  <c r="P85" i="2"/>
  <c r="Q84" i="2"/>
  <c r="P84" i="2"/>
  <c r="Q83" i="2"/>
  <c r="P83" i="2"/>
  <c r="Q82" i="2"/>
  <c r="P82" i="2"/>
  <c r="Q81" i="2"/>
  <c r="P81" i="2"/>
  <c r="P80" i="2"/>
  <c r="P79" i="2"/>
  <c r="P78" i="2"/>
  <c r="P77" i="2"/>
  <c r="P76" i="2"/>
  <c r="P75" i="2"/>
  <c r="P74" i="2"/>
  <c r="P73" i="2"/>
  <c r="P72" i="2"/>
  <c r="P71" i="2"/>
  <c r="P70" i="2"/>
  <c r="P69" i="2"/>
  <c r="P68" i="2"/>
  <c r="P67" i="2"/>
  <c r="P66" i="2"/>
  <c r="P62" i="2"/>
  <c r="P61" i="2"/>
  <c r="P60" i="2"/>
  <c r="P59" i="2"/>
  <c r="P58" i="2"/>
  <c r="P57" i="2"/>
  <c r="P56" i="2"/>
  <c r="Q54" i="2"/>
  <c r="P54" i="2"/>
  <c r="Q53" i="2"/>
  <c r="P53" i="2"/>
  <c r="Q52" i="2"/>
  <c r="P52" i="2"/>
  <c r="Q51" i="2"/>
  <c r="P51" i="2"/>
  <c r="Q50" i="2"/>
  <c r="P50" i="2"/>
  <c r="Q49" i="2"/>
  <c r="P49" i="2"/>
  <c r="Q48" i="2"/>
  <c r="P48" i="2"/>
  <c r="Q47" i="2"/>
  <c r="P47" i="2"/>
  <c r="Q46" i="2"/>
  <c r="P46" i="2"/>
  <c r="Q45" i="2"/>
  <c r="P45" i="2"/>
  <c r="Q44" i="2"/>
  <c r="P44" i="2"/>
  <c r="Q43" i="2"/>
  <c r="P43" i="2"/>
  <c r="Q42" i="2"/>
  <c r="P42" i="2"/>
  <c r="Q41" i="2"/>
  <c r="P41" i="2"/>
  <c r="Q40" i="2"/>
  <c r="P40" i="2"/>
  <c r="Q39" i="2"/>
  <c r="P39" i="2"/>
  <c r="Q38" i="2"/>
  <c r="P38" i="2"/>
  <c r="Q37" i="2"/>
  <c r="P37" i="2"/>
  <c r="Q36" i="2"/>
  <c r="P36" i="2"/>
  <c r="Q35" i="2"/>
  <c r="P35" i="2"/>
  <c r="Q34" i="2"/>
  <c r="P34" i="2"/>
  <c r="Q33" i="2"/>
  <c r="P33" i="2"/>
  <c r="Q32" i="2"/>
  <c r="P32" i="2"/>
  <c r="Q31" i="2"/>
  <c r="P31" i="2"/>
  <c r="Q30" i="2"/>
  <c r="P30" i="2"/>
  <c r="Q29" i="2"/>
  <c r="P29" i="2"/>
  <c r="Q28" i="2"/>
  <c r="P28" i="2"/>
  <c r="Q26" i="2"/>
  <c r="P26" i="2"/>
  <c r="Q25" i="2"/>
  <c r="Q24" i="2"/>
  <c r="Q23" i="2"/>
  <c r="Q22" i="2"/>
  <c r="Q21" i="2"/>
  <c r="P20" i="2"/>
  <c r="Q20" i="2"/>
  <c r="P25" i="2"/>
  <c r="P24" i="2"/>
  <c r="C25" i="2"/>
  <c r="D55" i="1" s="1"/>
  <c r="P23" i="2"/>
  <c r="P22" i="2"/>
  <c r="P21" i="2"/>
  <c r="C86" i="2"/>
  <c r="D313" i="1" s="1"/>
  <c r="C85" i="2"/>
  <c r="D307" i="1" s="1"/>
  <c r="C84" i="2"/>
  <c r="D301" i="1" s="1"/>
  <c r="C83" i="2"/>
  <c r="D293" i="1" s="1"/>
  <c r="C82" i="2"/>
  <c r="D287" i="1" s="1"/>
  <c r="C81" i="2"/>
  <c r="D281" i="1" s="1"/>
  <c r="C46" i="2"/>
  <c r="D191" i="1" s="1"/>
  <c r="C24" i="2"/>
  <c r="D49" i="1" s="1"/>
  <c r="A25" i="2"/>
  <c r="C54" i="2"/>
  <c r="D242" i="1" s="1"/>
  <c r="C53" i="2"/>
  <c r="D236" i="1" s="1"/>
  <c r="C52" i="2"/>
  <c r="D230" i="1" s="1"/>
  <c r="C51" i="2"/>
  <c r="D224" i="1" s="1"/>
  <c r="C50" i="2"/>
  <c r="D218" i="1" s="1"/>
  <c r="C49" i="2"/>
  <c r="D209" i="1" s="1"/>
  <c r="C48" i="2"/>
  <c r="D203" i="1" s="1"/>
  <c r="C47" i="2"/>
  <c r="D197" i="1" s="1"/>
  <c r="C45" i="2"/>
  <c r="D185" i="1" s="1"/>
  <c r="C44" i="2"/>
  <c r="D179" i="1" s="1"/>
  <c r="C43" i="2"/>
  <c r="D173" i="1" s="1"/>
  <c r="C42" i="2"/>
  <c r="D163" i="1" s="1"/>
  <c r="C41" i="2"/>
  <c r="D156" i="1" s="1"/>
  <c r="C40" i="2"/>
  <c r="D150" i="1" s="1"/>
  <c r="C39" i="2"/>
  <c r="D144" i="1" s="1"/>
  <c r="C38" i="2"/>
  <c r="D137" i="1" s="1"/>
  <c r="C37" i="2"/>
  <c r="D131" i="1" s="1"/>
  <c r="C36" i="2"/>
  <c r="D123" i="1" s="1"/>
  <c r="C35" i="2"/>
  <c r="D117" i="1" s="1"/>
  <c r="C34" i="2"/>
  <c r="D111" i="1" s="1"/>
  <c r="C33" i="2"/>
  <c r="D105" i="1" s="1"/>
  <c r="C32" i="2"/>
  <c r="D99" i="1" s="1"/>
  <c r="C31" i="2"/>
  <c r="D93" i="1" s="1"/>
  <c r="C30" i="2"/>
  <c r="D87" i="1" s="1"/>
  <c r="C29" i="2"/>
  <c r="D81" i="1" s="1"/>
  <c r="C28" i="2"/>
  <c r="D75" i="1" s="1"/>
  <c r="C26" i="2"/>
  <c r="D61" i="1" s="1"/>
  <c r="C23" i="2"/>
  <c r="D43" i="1" s="1"/>
  <c r="C22" i="2"/>
  <c r="D35" i="1" s="1"/>
  <c r="C21" i="2"/>
  <c r="D29" i="1" s="1"/>
  <c r="C20" i="2"/>
  <c r="D23" i="1" s="1"/>
  <c r="A24" i="2"/>
  <c r="E22" i="7"/>
  <c r="C80" i="2"/>
  <c r="C79" i="2"/>
  <c r="C78" i="2"/>
  <c r="C77" i="2"/>
  <c r="C76" i="2"/>
  <c r="C75" i="2"/>
  <c r="C74" i="2"/>
  <c r="C73" i="2"/>
  <c r="C72" i="2"/>
  <c r="C71" i="2"/>
  <c r="C70" i="2"/>
  <c r="C69" i="2"/>
  <c r="C68" i="2"/>
  <c r="C67" i="2"/>
  <c r="C66" i="2"/>
  <c r="C62" i="2"/>
  <c r="C61" i="2"/>
  <c r="C60" i="2"/>
  <c r="C59" i="2"/>
  <c r="C58" i="2"/>
  <c r="C57" i="2"/>
  <c r="C56" i="2"/>
  <c r="A26" i="2"/>
  <c r="A23" i="2"/>
  <c r="K57" i="47" l="1"/>
  <c r="L57" i="47"/>
  <c r="K47" i="47"/>
  <c r="L47" i="47"/>
  <c r="K140" i="47"/>
  <c r="L140" i="47"/>
  <c r="K139" i="47"/>
  <c r="L139" i="47"/>
  <c r="H17" i="28"/>
  <c r="K138" i="47"/>
  <c r="J17" i="28"/>
  <c r="I17" i="28"/>
  <c r="G17" i="28"/>
  <c r="L138" i="47"/>
  <c r="H16" i="28"/>
  <c r="I16" i="28"/>
  <c r="G16" i="28"/>
  <c r="L137" i="47"/>
  <c r="K137" i="47"/>
  <c r="J16" i="28"/>
  <c r="J15" i="28"/>
  <c r="I15" i="28"/>
  <c r="G15" i="28"/>
  <c r="H15" i="28"/>
  <c r="L136" i="47"/>
  <c r="K136" i="47"/>
  <c r="I14" i="28"/>
  <c r="G14" i="28"/>
  <c r="H14" i="28"/>
  <c r="L135" i="47"/>
  <c r="J14" i="28"/>
  <c r="K135" i="47"/>
  <c r="I13" i="28"/>
  <c r="J13" i="28"/>
  <c r="H13" i="28"/>
  <c r="L134" i="47"/>
  <c r="G13" i="28"/>
  <c r="K134" i="47"/>
  <c r="K133" i="47"/>
  <c r="I12" i="28"/>
  <c r="G12" i="28"/>
  <c r="H12" i="28"/>
  <c r="J12" i="28"/>
  <c r="L133" i="47"/>
  <c r="K132" i="47"/>
  <c r="I11" i="28"/>
  <c r="H11" i="28"/>
  <c r="G11" i="28"/>
  <c r="J11" i="28"/>
  <c r="L132" i="47"/>
  <c r="H10" i="28"/>
  <c r="G10" i="28"/>
  <c r="J10" i="28"/>
  <c r="I10" i="28"/>
  <c r="K131" i="47"/>
  <c r="L131" i="47"/>
  <c r="L130" i="47"/>
  <c r="G9" i="28"/>
  <c r="H9" i="28"/>
  <c r="I9" i="28"/>
  <c r="J9" i="28"/>
  <c r="K130" i="47"/>
  <c r="L129" i="47"/>
  <c r="H8" i="28"/>
  <c r="G8" i="28"/>
  <c r="K129" i="47"/>
  <c r="J8" i="28"/>
  <c r="I8" i="28"/>
  <c r="L128" i="47"/>
  <c r="J7" i="28"/>
  <c r="K128" i="47"/>
  <c r="I7" i="28"/>
  <c r="H7" i="28"/>
  <c r="G7" i="28"/>
  <c r="G6" i="28"/>
  <c r="H6" i="28"/>
  <c r="K127" i="47"/>
  <c r="J6" i="28"/>
  <c r="L127" i="47"/>
  <c r="I6" i="28"/>
  <c r="L126" i="47"/>
  <c r="K126" i="47"/>
  <c r="H5" i="28"/>
  <c r="J5" i="28"/>
  <c r="I5" i="28"/>
  <c r="G5" i="28"/>
  <c r="K125" i="47"/>
  <c r="L125" i="47"/>
  <c r="L346" i="47"/>
  <c r="K346" i="47"/>
  <c r="K631" i="47"/>
  <c r="L631" i="47"/>
  <c r="K301" i="47"/>
  <c r="L301" i="47"/>
  <c r="K300" i="47"/>
  <c r="L300" i="47"/>
  <c r="K299" i="47"/>
  <c r="L299" i="47"/>
  <c r="L252" i="47"/>
  <c r="K252" i="47"/>
  <c r="K216" i="47"/>
  <c r="L216" i="47"/>
  <c r="K276" i="47"/>
  <c r="L276" i="47"/>
  <c r="G4" i="13"/>
  <c r="K201" i="47"/>
  <c r="L201" i="47"/>
  <c r="J4" i="13"/>
  <c r="H4" i="13"/>
  <c r="I4" i="13"/>
  <c r="K59" i="47"/>
  <c r="L59" i="47"/>
  <c r="L654" i="47"/>
  <c r="K654" i="47"/>
  <c r="L509" i="47"/>
  <c r="K509" i="47"/>
  <c r="L188" i="47"/>
  <c r="K188" i="47"/>
  <c r="K229" i="47"/>
  <c r="L229" i="47"/>
  <c r="L493" i="47"/>
  <c r="K493" i="47"/>
  <c r="L147" i="47"/>
  <c r="K147" i="47"/>
  <c r="L327" i="47"/>
  <c r="K327" i="47"/>
  <c r="L23" i="47"/>
  <c r="K23" i="47"/>
  <c r="L24" i="47"/>
  <c r="K24" i="47"/>
  <c r="L93" i="47"/>
  <c r="K93" i="47"/>
  <c r="L431" i="47"/>
  <c r="K431" i="47"/>
  <c r="J4" i="14"/>
  <c r="I4" i="14"/>
  <c r="H4" i="14"/>
  <c r="G4" i="14"/>
  <c r="J31" i="32"/>
  <c r="H31" i="32"/>
  <c r="I31" i="32"/>
  <c r="G31" i="32"/>
  <c r="J28" i="4"/>
  <c r="I28" i="4"/>
  <c r="H28" i="4"/>
  <c r="G28" i="4"/>
  <c r="H4" i="28"/>
  <c r="J4" i="28"/>
  <c r="G4" i="28"/>
  <c r="I4" i="28"/>
  <c r="J8" i="4"/>
  <c r="I8" i="4"/>
  <c r="G8" i="4"/>
  <c r="H8" i="4"/>
  <c r="G4" i="6"/>
  <c r="I4" i="6"/>
  <c r="J4" i="6"/>
  <c r="H4" i="6"/>
  <c r="H10" i="16"/>
  <c r="J10" i="16"/>
  <c r="I10" i="16"/>
  <c r="G10" i="16"/>
  <c r="J9" i="16"/>
  <c r="I9" i="16"/>
  <c r="H9" i="16"/>
  <c r="G9" i="16"/>
  <c r="G8" i="16"/>
  <c r="I8" i="16"/>
  <c r="J8" i="16"/>
  <c r="H8" i="16"/>
  <c r="I7" i="16"/>
  <c r="G7" i="16"/>
  <c r="J7" i="16"/>
  <c r="H7" i="16"/>
  <c r="J6" i="16"/>
  <c r="H6" i="16"/>
  <c r="I6" i="16"/>
  <c r="G6" i="16"/>
  <c r="J5" i="16"/>
  <c r="H5" i="16"/>
  <c r="I5" i="16"/>
  <c r="G5" i="16"/>
  <c r="K2" i="16"/>
  <c r="J4" i="16"/>
  <c r="G4" i="16"/>
  <c r="H4" i="16"/>
  <c r="I4" i="16"/>
  <c r="G30" i="32"/>
  <c r="J30" i="32"/>
  <c r="H30" i="32"/>
  <c r="I30" i="32"/>
  <c r="G29" i="32"/>
  <c r="J29" i="32"/>
  <c r="I29" i="32"/>
  <c r="H29" i="32"/>
  <c r="G28" i="32"/>
  <c r="I28" i="32"/>
  <c r="J28" i="32"/>
  <c r="H28" i="32"/>
  <c r="G27" i="32"/>
  <c r="H27" i="32"/>
  <c r="I27" i="32"/>
  <c r="J27" i="32"/>
  <c r="G26" i="32"/>
  <c r="H26" i="32"/>
  <c r="I26" i="32"/>
  <c r="J26" i="32"/>
  <c r="G25" i="32"/>
  <c r="H25" i="32"/>
  <c r="I25" i="32"/>
  <c r="J25" i="32"/>
  <c r="G24" i="32"/>
  <c r="H24" i="32"/>
  <c r="I24" i="32"/>
  <c r="J24" i="32"/>
  <c r="H23" i="32"/>
  <c r="G23" i="32"/>
  <c r="I23" i="32"/>
  <c r="J23" i="32"/>
  <c r="G22" i="32"/>
  <c r="H22" i="32"/>
  <c r="I22" i="32"/>
  <c r="J22" i="32"/>
  <c r="I21" i="32"/>
  <c r="H21" i="32"/>
  <c r="G21" i="32"/>
  <c r="J21" i="32"/>
  <c r="J20" i="32"/>
  <c r="G20" i="32"/>
  <c r="H20" i="32"/>
  <c r="I20" i="32"/>
  <c r="J19" i="32"/>
  <c r="I19" i="32"/>
  <c r="H19" i="32"/>
  <c r="G19" i="32"/>
  <c r="G18" i="32"/>
  <c r="J18" i="32"/>
  <c r="I18" i="32"/>
  <c r="H18" i="32"/>
  <c r="I17" i="32"/>
  <c r="H17" i="32"/>
  <c r="G17" i="32"/>
  <c r="J17" i="32"/>
  <c r="I16" i="32"/>
  <c r="J16" i="32"/>
  <c r="G16" i="32"/>
  <c r="H16" i="32"/>
  <c r="J15" i="32"/>
  <c r="I15" i="32"/>
  <c r="H15" i="32"/>
  <c r="G15" i="32"/>
  <c r="J14" i="32"/>
  <c r="I14" i="32"/>
  <c r="H14" i="32"/>
  <c r="G14" i="32"/>
  <c r="H13" i="32"/>
  <c r="J13" i="32"/>
  <c r="I13" i="32"/>
  <c r="G13" i="32"/>
  <c r="G12" i="32"/>
  <c r="H12" i="32"/>
  <c r="I12" i="32"/>
  <c r="J12" i="32"/>
  <c r="J5" i="32"/>
  <c r="H5" i="32"/>
  <c r="G5" i="32"/>
  <c r="I5" i="32"/>
  <c r="J4" i="32"/>
  <c r="I4" i="32"/>
  <c r="G4" i="32"/>
  <c r="H4" i="32"/>
  <c r="G30" i="4"/>
  <c r="H30" i="4"/>
  <c r="I30" i="4"/>
  <c r="J30" i="4"/>
  <c r="J19" i="28"/>
  <c r="I19" i="28"/>
  <c r="H19" i="28"/>
  <c r="G19" i="28"/>
  <c r="I18" i="28"/>
  <c r="H18" i="28"/>
  <c r="G18" i="28"/>
  <c r="J18" i="28"/>
  <c r="G4" i="29"/>
  <c r="J4" i="29"/>
  <c r="H4" i="29"/>
  <c r="I4" i="29"/>
  <c r="H4" i="19"/>
  <c r="J4" i="19"/>
  <c r="I4" i="19"/>
  <c r="G4" i="19"/>
  <c r="H6" i="5"/>
  <c r="G6" i="5"/>
  <c r="I6" i="5"/>
  <c r="J6" i="5"/>
  <c r="G5" i="5"/>
  <c r="H5" i="5"/>
  <c r="I5" i="5"/>
  <c r="J5" i="5"/>
  <c r="H4" i="5"/>
  <c r="G4" i="5"/>
  <c r="I4" i="5"/>
  <c r="J4" i="5"/>
  <c r="J4" i="8"/>
  <c r="I4" i="8"/>
  <c r="H4" i="8"/>
  <c r="G4" i="8"/>
  <c r="H4" i="21"/>
  <c r="G4" i="21"/>
  <c r="J4" i="21"/>
  <c r="I4" i="21"/>
  <c r="H4" i="18"/>
  <c r="I4" i="18"/>
  <c r="G4" i="18"/>
  <c r="J4" i="18"/>
  <c r="H4" i="35"/>
  <c r="G4" i="35"/>
  <c r="J4" i="35"/>
  <c r="I4" i="35"/>
  <c r="H4" i="12"/>
  <c r="G4" i="12"/>
  <c r="J4" i="12"/>
  <c r="I4" i="12"/>
  <c r="H4" i="11"/>
  <c r="J4" i="11"/>
  <c r="I4" i="11"/>
  <c r="G4" i="11"/>
  <c r="G4" i="10"/>
  <c r="I4" i="10"/>
  <c r="J4" i="10"/>
  <c r="H4" i="10"/>
  <c r="J5" i="20"/>
  <c r="I5" i="20"/>
  <c r="G5" i="20"/>
  <c r="H5" i="20"/>
  <c r="I9" i="32"/>
  <c r="H9" i="32"/>
  <c r="G9" i="32"/>
  <c r="J9" i="32"/>
  <c r="J5" i="17"/>
  <c r="I5" i="17"/>
  <c r="H5" i="17"/>
  <c r="G5" i="17"/>
  <c r="J27" i="3"/>
  <c r="I27" i="3"/>
  <c r="H27" i="3"/>
  <c r="G27" i="3"/>
  <c r="J26" i="3"/>
  <c r="I26" i="3"/>
  <c r="H26" i="3"/>
  <c r="G26" i="3"/>
  <c r="H21" i="3"/>
  <c r="J21" i="3"/>
  <c r="I21" i="3"/>
  <c r="G21" i="3"/>
  <c r="J20" i="3"/>
  <c r="I20" i="3"/>
  <c r="H20" i="3"/>
  <c r="G20" i="3"/>
  <c r="J19" i="3"/>
  <c r="I19" i="3"/>
  <c r="H19" i="3"/>
  <c r="G19" i="3"/>
  <c r="H18" i="3"/>
  <c r="G18" i="3"/>
  <c r="J18" i="3"/>
  <c r="I18" i="3"/>
  <c r="H15" i="3"/>
  <c r="G15" i="3"/>
  <c r="J15" i="3"/>
  <c r="I15" i="3"/>
  <c r="J14" i="3"/>
  <c r="I14" i="3"/>
  <c r="H14" i="3"/>
  <c r="G14" i="3"/>
  <c r="J13" i="3"/>
  <c r="I13" i="3"/>
  <c r="H13" i="3"/>
  <c r="G13" i="3"/>
  <c r="J12" i="3"/>
  <c r="I12" i="3"/>
  <c r="H12" i="3"/>
  <c r="G12" i="3"/>
  <c r="J11" i="3"/>
  <c r="I11" i="3"/>
  <c r="H11" i="3"/>
  <c r="G11" i="3"/>
  <c r="L12" i="47" s="1"/>
  <c r="J10" i="3"/>
  <c r="I10" i="3"/>
  <c r="H10" i="3"/>
  <c r="G10" i="3"/>
  <c r="J9" i="3"/>
  <c r="I9" i="3"/>
  <c r="G4" i="31"/>
  <c r="H4" i="31"/>
  <c r="I4" i="31"/>
  <c r="J4" i="31"/>
  <c r="G4" i="27"/>
  <c r="H4" i="27"/>
  <c r="I4" i="27"/>
  <c r="J4" i="27"/>
  <c r="H9" i="3"/>
  <c r="G9" i="3"/>
  <c r="J8" i="3"/>
  <c r="I8" i="3"/>
  <c r="H8" i="3"/>
  <c r="G8" i="3"/>
  <c r="J5" i="4"/>
  <c r="I5" i="4"/>
  <c r="H5" i="4"/>
  <c r="G5" i="4"/>
  <c r="J6" i="3"/>
  <c r="I6" i="3"/>
  <c r="H6" i="3"/>
  <c r="G6" i="3"/>
  <c r="J20" i="4"/>
  <c r="I20" i="4"/>
  <c r="H20" i="4"/>
  <c r="G20" i="4"/>
  <c r="C31" i="39"/>
  <c r="D18" i="40" s="1"/>
  <c r="J6" i="4"/>
  <c r="I6" i="4"/>
  <c r="H6" i="4"/>
  <c r="G6" i="4"/>
  <c r="J4" i="4"/>
  <c r="I4" i="4"/>
  <c r="H4" i="4"/>
  <c r="G4" i="4"/>
  <c r="I29" i="3"/>
  <c r="H29" i="3"/>
  <c r="G29" i="3"/>
  <c r="J29" i="3"/>
  <c r="H7" i="3"/>
  <c r="J7" i="3"/>
  <c r="I7" i="3"/>
  <c r="G7" i="3"/>
  <c r="J22" i="3"/>
  <c r="H22" i="3"/>
  <c r="I22" i="3"/>
  <c r="G22" i="3"/>
  <c r="J28" i="3"/>
  <c r="I28" i="3"/>
  <c r="H28" i="3"/>
  <c r="G28" i="3"/>
  <c r="H23" i="3"/>
  <c r="J23" i="3"/>
  <c r="I23" i="3"/>
  <c r="G23" i="3"/>
  <c r="G5" i="3"/>
  <c r="J5" i="3"/>
  <c r="I5" i="3"/>
  <c r="H5" i="3"/>
  <c r="F19" i="4"/>
  <c r="F11" i="16"/>
  <c r="E20" i="39"/>
  <c r="F4" i="15"/>
  <c r="F4" i="24"/>
  <c r="F4" i="26"/>
  <c r="F4" i="20"/>
  <c r="F4" i="33"/>
  <c r="F6" i="32"/>
  <c r="F4" i="17"/>
  <c r="F5" i="6"/>
  <c r="C5" i="46"/>
  <c r="F4" i="46"/>
  <c r="J4" i="3"/>
  <c r="I4" i="3"/>
  <c r="G4" i="3"/>
  <c r="H4" i="3"/>
  <c r="C4" i="7"/>
  <c r="R16" i="1"/>
  <c r="Q16" i="1" s="1"/>
  <c r="P16" i="1" s="1"/>
  <c r="O16" i="1" s="1"/>
  <c r="D16" i="1" s="1"/>
  <c r="F25" i="3"/>
  <c r="F24" i="3"/>
  <c r="C20" i="28"/>
  <c r="E16" i="39" s="1"/>
  <c r="G44" i="37"/>
  <c r="G40" i="37"/>
  <c r="D20" i="39"/>
  <c r="C5" i="27"/>
  <c r="C7" i="32"/>
  <c r="F7" i="32" s="1"/>
  <c r="C10" i="32"/>
  <c r="F10" i="32" s="1"/>
  <c r="C5" i="31"/>
  <c r="B98" i="37"/>
  <c r="B77" i="37"/>
  <c r="B76" i="37"/>
  <c r="J20" i="40"/>
  <c r="J19" i="40"/>
  <c r="F53" i="37"/>
  <c r="D274" i="1"/>
  <c r="D271" i="1"/>
  <c r="D269" i="1"/>
  <c r="D267" i="1"/>
  <c r="D264" i="1"/>
  <c r="D263" i="1"/>
  <c r="D276" i="1"/>
  <c r="D275" i="1"/>
  <c r="D273" i="1"/>
  <c r="D272" i="1"/>
  <c r="D270" i="1"/>
  <c r="D268" i="1"/>
  <c r="D266" i="1"/>
  <c r="D265" i="1"/>
  <c r="D262" i="1"/>
  <c r="C16" i="3"/>
  <c r="C5" i="24"/>
  <c r="C5" i="35"/>
  <c r="C6" i="17"/>
  <c r="C5" i="15"/>
  <c r="C5" i="26"/>
  <c r="C5" i="18"/>
  <c r="C5" i="12"/>
  <c r="C5" i="11"/>
  <c r="C5" i="10"/>
  <c r="R85" i="2"/>
  <c r="R78" i="2"/>
  <c r="R77" i="2"/>
  <c r="R76" i="2"/>
  <c r="R75" i="2"/>
  <c r="R74" i="2"/>
  <c r="R73" i="2"/>
  <c r="R72" i="2"/>
  <c r="R71" i="2"/>
  <c r="R70" i="2"/>
  <c r="R68" i="2"/>
  <c r="R66" i="2"/>
  <c r="R62" i="2"/>
  <c r="R61" i="2"/>
  <c r="R54" i="2"/>
  <c r="R53" i="2"/>
  <c r="R48" i="2"/>
  <c r="R35" i="2"/>
  <c r="R32" i="2"/>
  <c r="R30" i="2"/>
  <c r="R23" i="2"/>
  <c r="R22" i="2"/>
  <c r="R69" i="2"/>
  <c r="C5" i="14"/>
  <c r="C5" i="21"/>
  <c r="C5" i="8"/>
  <c r="R86" i="2"/>
  <c r="R84" i="2"/>
  <c r="R83" i="2"/>
  <c r="R82" i="2"/>
  <c r="R79" i="2"/>
  <c r="R80" i="2"/>
  <c r="R67" i="2"/>
  <c r="R52" i="2"/>
  <c r="R51" i="2"/>
  <c r="R49" i="2"/>
  <c r="R47" i="2"/>
  <c r="R46" i="2"/>
  <c r="R44" i="2"/>
  <c r="R43" i="2"/>
  <c r="R42" i="2"/>
  <c r="R41" i="2"/>
  <c r="R38" i="2"/>
  <c r="R36" i="2"/>
  <c r="R34" i="2"/>
  <c r="R33" i="2"/>
  <c r="R31" i="2"/>
  <c r="R29" i="2"/>
  <c r="R28" i="2"/>
  <c r="R26" i="2"/>
  <c r="R25" i="2"/>
  <c r="R24" i="2"/>
  <c r="R21" i="2"/>
  <c r="R20" i="2"/>
  <c r="C6" i="20"/>
  <c r="F6" i="20" s="1"/>
  <c r="R45" i="2"/>
  <c r="R40" i="2"/>
  <c r="C5" i="29"/>
  <c r="R39" i="2"/>
  <c r="R60" i="2"/>
  <c r="R58" i="2"/>
  <c r="R59" i="2"/>
  <c r="R57" i="2"/>
  <c r="R56" i="2"/>
  <c r="C5" i="33"/>
  <c r="F5" i="33" s="1"/>
  <c r="C7" i="5"/>
  <c r="R50" i="2"/>
  <c r="C6" i="6"/>
  <c r="F6" i="6" s="1"/>
  <c r="C5" i="19"/>
  <c r="F5" i="19" s="1"/>
  <c r="R81" i="2"/>
  <c r="R37" i="2"/>
  <c r="C5" i="13"/>
  <c r="D256" i="1"/>
  <c r="D255" i="1"/>
  <c r="D254" i="1"/>
  <c r="D250" i="1"/>
  <c r="D253" i="1"/>
  <c r="D252" i="1"/>
  <c r="D251" i="1"/>
  <c r="A80" i="2"/>
  <c r="L46" i="47" l="1"/>
  <c r="K46" i="47"/>
  <c r="K366" i="47"/>
  <c r="L366" i="47"/>
  <c r="K170" i="47"/>
  <c r="L170" i="47"/>
  <c r="L600" i="47"/>
  <c r="K600" i="47"/>
  <c r="L492" i="47"/>
  <c r="K492" i="47"/>
  <c r="L466" i="47"/>
  <c r="K466" i="47"/>
  <c r="L392" i="47"/>
  <c r="K392" i="47"/>
  <c r="L148" i="47"/>
  <c r="K148" i="47"/>
  <c r="L494" i="47"/>
  <c r="K494" i="47"/>
  <c r="K467" i="47"/>
  <c r="L467" i="47"/>
  <c r="L393" i="47"/>
  <c r="K393" i="47"/>
  <c r="L632" i="47"/>
  <c r="K632" i="47"/>
  <c r="L518" i="47"/>
  <c r="K518" i="47"/>
  <c r="L430" i="47"/>
  <c r="K430" i="47"/>
  <c r="L26" i="47"/>
  <c r="K26" i="47"/>
  <c r="L25" i="47"/>
  <c r="K25" i="47"/>
  <c r="H11" i="16"/>
  <c r="I11" i="16"/>
  <c r="G11" i="16"/>
  <c r="J11" i="16"/>
  <c r="J4" i="15"/>
  <c r="I4" i="15"/>
  <c r="G4" i="15"/>
  <c r="H4" i="15"/>
  <c r="J4" i="24"/>
  <c r="G4" i="24"/>
  <c r="H4" i="24"/>
  <c r="I4" i="24"/>
  <c r="H4" i="26"/>
  <c r="G4" i="26"/>
  <c r="J4" i="26"/>
  <c r="I4" i="26"/>
  <c r="I4" i="20"/>
  <c r="G4" i="20"/>
  <c r="H4" i="20"/>
  <c r="J4" i="20"/>
  <c r="I4" i="33"/>
  <c r="J4" i="33"/>
  <c r="H4" i="33"/>
  <c r="G4" i="33"/>
  <c r="J6" i="32"/>
  <c r="I6" i="32"/>
  <c r="G6" i="32"/>
  <c r="H6" i="32"/>
  <c r="I4" i="17"/>
  <c r="J4" i="17"/>
  <c r="H4" i="17"/>
  <c r="G4" i="17"/>
  <c r="J5" i="6"/>
  <c r="G5" i="6"/>
  <c r="H5" i="6"/>
  <c r="I5" i="6"/>
  <c r="H4" i="46"/>
  <c r="I4" i="46"/>
  <c r="G4" i="46"/>
  <c r="J4" i="46"/>
  <c r="J7" i="32"/>
  <c r="I7" i="32"/>
  <c r="H7" i="32"/>
  <c r="G7" i="32"/>
  <c r="J10" i="32"/>
  <c r="I10" i="32"/>
  <c r="H10" i="32"/>
  <c r="G10" i="32"/>
  <c r="G6" i="20"/>
  <c r="I6" i="20"/>
  <c r="H6" i="20"/>
  <c r="J6" i="20"/>
  <c r="G5" i="33"/>
  <c r="H5" i="33"/>
  <c r="I5" i="33"/>
  <c r="J5" i="33"/>
  <c r="H6" i="6"/>
  <c r="I6" i="6"/>
  <c r="G6" i="6"/>
  <c r="J6" i="6"/>
  <c r="G5" i="19"/>
  <c r="H5" i="19"/>
  <c r="I5" i="19"/>
  <c r="J5" i="19"/>
  <c r="J19" i="4"/>
  <c r="I19" i="4"/>
  <c r="G19" i="4"/>
  <c r="H19" i="4"/>
  <c r="J44" i="37"/>
  <c r="I44" i="37"/>
  <c r="G20" i="39"/>
  <c r="F20" i="39"/>
  <c r="H44" i="37"/>
  <c r="J25" i="3"/>
  <c r="I25" i="3"/>
  <c r="G25" i="3"/>
  <c r="H25" i="3"/>
  <c r="H24" i="3"/>
  <c r="J24" i="3"/>
  <c r="I24" i="3"/>
  <c r="G24" i="3"/>
  <c r="F5" i="27"/>
  <c r="F5" i="31"/>
  <c r="F5" i="24"/>
  <c r="F5" i="35"/>
  <c r="F6" i="17"/>
  <c r="F5" i="15"/>
  <c r="F5" i="26"/>
  <c r="F5" i="18"/>
  <c r="F5" i="12"/>
  <c r="F5" i="11"/>
  <c r="F5" i="10"/>
  <c r="F5" i="14"/>
  <c r="F5" i="21"/>
  <c r="F5" i="8"/>
  <c r="F5" i="29"/>
  <c r="F7" i="5"/>
  <c r="F5" i="13"/>
  <c r="F16" i="3"/>
  <c r="F5" i="46"/>
  <c r="C6" i="46"/>
  <c r="F6" i="46" s="1"/>
  <c r="F4" i="7"/>
  <c r="C5" i="7"/>
  <c r="D16" i="39"/>
  <c r="F20" i="28"/>
  <c r="H40" i="37"/>
  <c r="J40" i="37"/>
  <c r="I40" i="37"/>
  <c r="C6" i="15"/>
  <c r="C6" i="33"/>
  <c r="C6" i="18"/>
  <c r="C6" i="35"/>
  <c r="C6" i="31"/>
  <c r="F6" i="31" s="1"/>
  <c r="C8" i="32"/>
  <c r="F7" i="4"/>
  <c r="C6" i="24"/>
  <c r="C6" i="26"/>
  <c r="C6" i="12"/>
  <c r="C6" i="11"/>
  <c r="C6" i="10"/>
  <c r="C6" i="14"/>
  <c r="C6" i="21"/>
  <c r="C6" i="8"/>
  <c r="C7" i="20"/>
  <c r="C6" i="29"/>
  <c r="C8" i="5"/>
  <c r="F8" i="5" s="1"/>
  <c r="C6" i="19"/>
  <c r="F6" i="19" s="1"/>
  <c r="C6" i="13"/>
  <c r="F6" i="13" s="1"/>
  <c r="C11" i="32"/>
  <c r="F11" i="32" s="1"/>
  <c r="B87" i="37"/>
  <c r="B97" i="37"/>
  <c r="B92" i="37"/>
  <c r="C17" i="3"/>
  <c r="C6" i="27"/>
  <c r="F6" i="27" s="1"/>
  <c r="C7" i="17"/>
  <c r="C7" i="6"/>
  <c r="A20" i="2"/>
  <c r="A86" i="2"/>
  <c r="A85" i="2"/>
  <c r="A84" i="2"/>
  <c r="A83" i="2"/>
  <c r="A82" i="2"/>
  <c r="A81" i="2"/>
  <c r="A79" i="2"/>
  <c r="A78" i="2"/>
  <c r="A77" i="2"/>
  <c r="A76" i="2"/>
  <c r="A75" i="2"/>
  <c r="A74" i="2"/>
  <c r="A73" i="2"/>
  <c r="A72" i="2"/>
  <c r="A71" i="2"/>
  <c r="A70" i="2"/>
  <c r="A69" i="2"/>
  <c r="A68" i="2"/>
  <c r="A67" i="2"/>
  <c r="A66" i="2"/>
  <c r="A63" i="2"/>
  <c r="A62" i="2"/>
  <c r="A61" i="2"/>
  <c r="A60" i="2"/>
  <c r="A59" i="2"/>
  <c r="A58" i="2"/>
  <c r="A57"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2" i="2"/>
  <c r="A21" i="2"/>
  <c r="A19" i="2"/>
  <c r="Q23" i="1"/>
  <c r="P23" i="1" s="1"/>
  <c r="O23" i="1" s="1"/>
  <c r="K60" i="47" l="1"/>
  <c r="L60" i="47"/>
  <c r="L171" i="47"/>
  <c r="K171" i="47"/>
  <c r="L655" i="47"/>
  <c r="K655" i="47"/>
  <c r="K367" i="47"/>
  <c r="L367" i="47"/>
  <c r="K601" i="47"/>
  <c r="L601" i="47"/>
  <c r="L510" i="47"/>
  <c r="K510" i="47"/>
  <c r="K189" i="47"/>
  <c r="L189" i="47"/>
  <c r="K230" i="47"/>
  <c r="L230" i="47"/>
  <c r="K217" i="47"/>
  <c r="L217" i="47"/>
  <c r="L277" i="47"/>
  <c r="K277" i="47"/>
  <c r="K253" i="47"/>
  <c r="L253" i="47"/>
  <c r="K347" i="47"/>
  <c r="L347" i="47"/>
  <c r="L302" i="47"/>
  <c r="K302" i="47"/>
  <c r="K202" i="47"/>
  <c r="L202" i="47"/>
  <c r="L407" i="47"/>
  <c r="K407" i="47"/>
  <c r="L141" i="47"/>
  <c r="K141" i="47"/>
  <c r="K303" i="47"/>
  <c r="L303" i="47"/>
  <c r="K633" i="47"/>
  <c r="L633" i="47"/>
  <c r="K203" i="47"/>
  <c r="L203" i="47"/>
  <c r="K149" i="47"/>
  <c r="L149" i="47"/>
  <c r="L61" i="47"/>
  <c r="K61" i="47"/>
  <c r="L328" i="47"/>
  <c r="K328" i="47"/>
  <c r="L17" i="47"/>
  <c r="K17" i="47"/>
  <c r="L519" i="47"/>
  <c r="K519" i="47"/>
  <c r="L520" i="47"/>
  <c r="K520" i="47"/>
  <c r="L94" i="47"/>
  <c r="K94" i="47"/>
  <c r="L432" i="47"/>
  <c r="K432" i="47"/>
  <c r="L95" i="47"/>
  <c r="K95" i="47"/>
  <c r="H5" i="27"/>
  <c r="I5" i="27"/>
  <c r="G5" i="27"/>
  <c r="J5" i="27"/>
  <c r="G5" i="31"/>
  <c r="I5" i="31"/>
  <c r="H5" i="31"/>
  <c r="J5" i="31"/>
  <c r="H5" i="24"/>
  <c r="J5" i="24"/>
  <c r="I5" i="24"/>
  <c r="G5" i="24"/>
  <c r="J5" i="35"/>
  <c r="H5" i="35"/>
  <c r="G5" i="35"/>
  <c r="I5" i="35"/>
  <c r="I6" i="17"/>
  <c r="H6" i="17"/>
  <c r="G6" i="17"/>
  <c r="J6" i="17"/>
  <c r="J5" i="15"/>
  <c r="I5" i="15"/>
  <c r="H5" i="15"/>
  <c r="G5" i="15"/>
  <c r="H5" i="26"/>
  <c r="I5" i="26"/>
  <c r="J5" i="26"/>
  <c r="G5" i="26"/>
  <c r="J5" i="18"/>
  <c r="I5" i="18"/>
  <c r="H5" i="18"/>
  <c r="G5" i="18"/>
  <c r="J5" i="12"/>
  <c r="I5" i="12"/>
  <c r="G5" i="12"/>
  <c r="H5" i="12"/>
  <c r="G5" i="11"/>
  <c r="I5" i="11"/>
  <c r="H5" i="11"/>
  <c r="J5" i="11"/>
  <c r="G5" i="10"/>
  <c r="I5" i="10"/>
  <c r="H5" i="10"/>
  <c r="J5" i="10"/>
  <c r="I5" i="14"/>
  <c r="G5" i="14"/>
  <c r="H5" i="14"/>
  <c r="J5" i="14"/>
  <c r="G5" i="21"/>
  <c r="J5" i="21"/>
  <c r="I5" i="21"/>
  <c r="H5" i="21"/>
  <c r="J5" i="8"/>
  <c r="I5" i="8"/>
  <c r="H5" i="8"/>
  <c r="G5" i="8"/>
  <c r="I5" i="29"/>
  <c r="H5" i="29"/>
  <c r="J5" i="29"/>
  <c r="G5" i="29"/>
  <c r="G7" i="5"/>
  <c r="J7" i="5"/>
  <c r="I7" i="5"/>
  <c r="H7" i="5"/>
  <c r="I5" i="13"/>
  <c r="J5" i="13"/>
  <c r="H5" i="13"/>
  <c r="G5" i="13"/>
  <c r="J5" i="46"/>
  <c r="G5" i="46"/>
  <c r="H5" i="46"/>
  <c r="I5" i="46"/>
  <c r="G6" i="46"/>
  <c r="H6" i="46"/>
  <c r="I6" i="46"/>
  <c r="J6" i="46"/>
  <c r="I4" i="7"/>
  <c r="H4" i="7"/>
  <c r="G4" i="7"/>
  <c r="J4" i="7"/>
  <c r="H20" i="28"/>
  <c r="I20" i="28"/>
  <c r="K2" i="28"/>
  <c r="G20" i="28"/>
  <c r="J20" i="28"/>
  <c r="G6" i="31"/>
  <c r="H6" i="31"/>
  <c r="I6" i="31"/>
  <c r="J6" i="31"/>
  <c r="G8" i="5"/>
  <c r="J8" i="5"/>
  <c r="H8" i="5"/>
  <c r="I8" i="5"/>
  <c r="G6" i="19"/>
  <c r="J6" i="19"/>
  <c r="I6" i="19"/>
  <c r="H6" i="19"/>
  <c r="I6" i="13"/>
  <c r="H6" i="13"/>
  <c r="G6" i="13"/>
  <c r="J6" i="13"/>
  <c r="H11" i="32"/>
  <c r="G11" i="32"/>
  <c r="J11" i="32"/>
  <c r="I11" i="32"/>
  <c r="H6" i="27"/>
  <c r="I6" i="27"/>
  <c r="G6" i="27"/>
  <c r="J6" i="27"/>
  <c r="L44" i="37"/>
  <c r="K44" i="37"/>
  <c r="M44" i="37"/>
  <c r="I20" i="39"/>
  <c r="H20" i="39"/>
  <c r="J20" i="39"/>
  <c r="J16" i="3"/>
  <c r="G16" i="3"/>
  <c r="I16" i="3"/>
  <c r="H16" i="3"/>
  <c r="G7" i="4"/>
  <c r="J7" i="4"/>
  <c r="I7" i="4"/>
  <c r="H7" i="4"/>
  <c r="F17" i="3"/>
  <c r="E2" i="39"/>
  <c r="F6" i="15"/>
  <c r="F6" i="33"/>
  <c r="F6" i="18"/>
  <c r="F6" i="35"/>
  <c r="F8" i="32"/>
  <c r="E25" i="39"/>
  <c r="F6" i="24"/>
  <c r="F6" i="26"/>
  <c r="F6" i="12"/>
  <c r="F6" i="11"/>
  <c r="F6" i="10"/>
  <c r="F6" i="14"/>
  <c r="F6" i="21"/>
  <c r="F6" i="8"/>
  <c r="F7" i="20"/>
  <c r="F6" i="29"/>
  <c r="F7" i="17"/>
  <c r="F7" i="6"/>
  <c r="C7" i="46"/>
  <c r="F16" i="39"/>
  <c r="G16" i="39"/>
  <c r="M40" i="37"/>
  <c r="L40" i="37"/>
  <c r="F5" i="7"/>
  <c r="C6" i="7"/>
  <c r="K40" i="37"/>
  <c r="O40" i="37" s="1"/>
  <c r="C7" i="33"/>
  <c r="F7" i="33" s="1"/>
  <c r="C7" i="15"/>
  <c r="C7" i="18"/>
  <c r="F7" i="18" s="1"/>
  <c r="C7" i="35"/>
  <c r="G49" i="37"/>
  <c r="C7" i="11"/>
  <c r="C7" i="21"/>
  <c r="C9" i="5"/>
  <c r="C8" i="6"/>
  <c r="C7" i="14"/>
  <c r="D25" i="39"/>
  <c r="C7" i="10"/>
  <c r="C7" i="8"/>
  <c r="C7" i="12"/>
  <c r="C7" i="13"/>
  <c r="C7" i="24"/>
  <c r="C7" i="26"/>
  <c r="C7" i="31"/>
  <c r="C7" i="19"/>
  <c r="F7" i="19" s="1"/>
  <c r="C8" i="20"/>
  <c r="F8" i="20" s="1"/>
  <c r="C7" i="29"/>
  <c r="F7" i="29" s="1"/>
  <c r="D2" i="39"/>
  <c r="G26" i="37"/>
  <c r="C7" i="27"/>
  <c r="F7" i="27" s="1"/>
  <c r="C8" i="17"/>
  <c r="L368" i="47" l="1"/>
  <c r="K368" i="47"/>
  <c r="L468" i="47"/>
  <c r="K468" i="47"/>
  <c r="L656" i="47"/>
  <c r="K656" i="47"/>
  <c r="K172" i="47"/>
  <c r="L172" i="47"/>
  <c r="K602" i="47"/>
  <c r="L602" i="47"/>
  <c r="L511" i="47"/>
  <c r="K511" i="47"/>
  <c r="K190" i="47"/>
  <c r="L190" i="47"/>
  <c r="K231" i="47"/>
  <c r="L231" i="47"/>
  <c r="L218" i="47"/>
  <c r="K218" i="47"/>
  <c r="L278" i="47"/>
  <c r="K278" i="47"/>
  <c r="L254" i="47"/>
  <c r="K254" i="47"/>
  <c r="L495" i="47"/>
  <c r="K495" i="47"/>
  <c r="K348" i="47"/>
  <c r="L348" i="47"/>
  <c r="K394" i="47"/>
  <c r="L394" i="47"/>
  <c r="L408" i="47"/>
  <c r="K408" i="47"/>
  <c r="K469" i="47"/>
  <c r="L469" i="47"/>
  <c r="K634" i="47"/>
  <c r="L634" i="47"/>
  <c r="L496" i="47"/>
  <c r="K496" i="47"/>
  <c r="L349" i="47"/>
  <c r="K349" i="47"/>
  <c r="K62" i="47"/>
  <c r="L62" i="47"/>
  <c r="L329" i="47"/>
  <c r="K329" i="47"/>
  <c r="L330" i="47"/>
  <c r="K330" i="47"/>
  <c r="L18" i="47"/>
  <c r="K18" i="47"/>
  <c r="L433" i="47"/>
  <c r="K433" i="47"/>
  <c r="G6" i="15"/>
  <c r="H6" i="15"/>
  <c r="I6" i="15"/>
  <c r="J6" i="15"/>
  <c r="J6" i="33"/>
  <c r="I6" i="33"/>
  <c r="H6" i="33"/>
  <c r="G6" i="33"/>
  <c r="G6" i="18"/>
  <c r="H6" i="18"/>
  <c r="I6" i="18"/>
  <c r="J6" i="18"/>
  <c r="J6" i="35"/>
  <c r="I6" i="35"/>
  <c r="H6" i="35"/>
  <c r="G6" i="35"/>
  <c r="H8" i="32"/>
  <c r="I8" i="32"/>
  <c r="J8" i="32"/>
  <c r="K2" i="32"/>
  <c r="G8" i="32"/>
  <c r="I6" i="24"/>
  <c r="H6" i="24"/>
  <c r="G6" i="24"/>
  <c r="J6" i="24"/>
  <c r="H6" i="26"/>
  <c r="J6" i="26"/>
  <c r="I6" i="26"/>
  <c r="G6" i="26"/>
  <c r="J6" i="12"/>
  <c r="I6" i="12"/>
  <c r="H6" i="12"/>
  <c r="G6" i="12"/>
  <c r="H6" i="11"/>
  <c r="J6" i="11"/>
  <c r="I6" i="11"/>
  <c r="G6" i="11"/>
  <c r="H6" i="10"/>
  <c r="I6" i="10"/>
  <c r="J6" i="10"/>
  <c r="G6" i="10"/>
  <c r="G6" i="14"/>
  <c r="H6" i="14"/>
  <c r="I6" i="14"/>
  <c r="J6" i="14"/>
  <c r="G6" i="21"/>
  <c r="I6" i="21"/>
  <c r="J6" i="21"/>
  <c r="H6" i="21"/>
  <c r="G6" i="8"/>
  <c r="J6" i="8"/>
  <c r="I6" i="8"/>
  <c r="H6" i="8"/>
  <c r="G7" i="20"/>
  <c r="H7" i="20"/>
  <c r="I7" i="20"/>
  <c r="J7" i="20"/>
  <c r="J6" i="29"/>
  <c r="I6" i="29"/>
  <c r="H6" i="29"/>
  <c r="G6" i="29"/>
  <c r="G7" i="17"/>
  <c r="H7" i="17"/>
  <c r="I7" i="17"/>
  <c r="J7" i="17"/>
  <c r="G7" i="6"/>
  <c r="J7" i="6"/>
  <c r="H7" i="6"/>
  <c r="I7" i="6"/>
  <c r="H5" i="7"/>
  <c r="I5" i="7"/>
  <c r="J5" i="7"/>
  <c r="G5" i="7"/>
  <c r="I7" i="33"/>
  <c r="J7" i="33"/>
  <c r="G7" i="33"/>
  <c r="H7" i="33"/>
  <c r="G7" i="18"/>
  <c r="J7" i="18"/>
  <c r="I7" i="18"/>
  <c r="H7" i="18"/>
  <c r="E3" i="39"/>
  <c r="F7" i="35"/>
  <c r="G7" i="19"/>
  <c r="H7" i="19"/>
  <c r="I7" i="19"/>
  <c r="J7" i="19"/>
  <c r="G8" i="20"/>
  <c r="H8" i="20"/>
  <c r="I8" i="20"/>
  <c r="J8" i="20"/>
  <c r="G7" i="29"/>
  <c r="H7" i="29"/>
  <c r="I7" i="29"/>
  <c r="J7" i="29"/>
  <c r="G7" i="27"/>
  <c r="H7" i="27"/>
  <c r="J7" i="27"/>
  <c r="I7" i="27"/>
  <c r="H49" i="37"/>
  <c r="F25" i="39"/>
  <c r="I25" i="39" s="1"/>
  <c r="O44" i="37"/>
  <c r="N44" i="37"/>
  <c r="P44" i="37" s="1"/>
  <c r="L20" i="39"/>
  <c r="K20" i="39"/>
  <c r="J26" i="37"/>
  <c r="J17" i="3"/>
  <c r="H17" i="3"/>
  <c r="I17" i="3"/>
  <c r="G17" i="3"/>
  <c r="F2" i="39"/>
  <c r="I2" i="39" s="1"/>
  <c r="G2" i="39"/>
  <c r="K2" i="3"/>
  <c r="I26" i="37"/>
  <c r="H26" i="37"/>
  <c r="F7" i="15"/>
  <c r="F7" i="11"/>
  <c r="F7" i="21"/>
  <c r="F9" i="5"/>
  <c r="F8" i="6"/>
  <c r="F7" i="14"/>
  <c r="F7" i="10"/>
  <c r="F7" i="8"/>
  <c r="F7" i="12"/>
  <c r="F7" i="13"/>
  <c r="F7" i="24"/>
  <c r="F7" i="26"/>
  <c r="F7" i="31"/>
  <c r="F8" i="17"/>
  <c r="F7" i="46"/>
  <c r="C8" i="46"/>
  <c r="N40" i="37"/>
  <c r="P40" i="37" s="1"/>
  <c r="J16" i="39"/>
  <c r="I16" i="39"/>
  <c r="H16" i="39"/>
  <c r="L16" i="39" s="1"/>
  <c r="F6" i="7"/>
  <c r="C7" i="7"/>
  <c r="D3" i="39"/>
  <c r="G3" i="39"/>
  <c r="G27" i="37"/>
  <c r="C8" i="15"/>
  <c r="F8" i="15" s="1"/>
  <c r="C8" i="33"/>
  <c r="C8" i="21"/>
  <c r="F8" i="21" s="1"/>
  <c r="C8" i="18"/>
  <c r="F9" i="4"/>
  <c r="C8" i="11"/>
  <c r="F8" i="11" s="1"/>
  <c r="C10" i="5"/>
  <c r="F10" i="5" s="1"/>
  <c r="I49" i="37"/>
  <c r="G25" i="39"/>
  <c r="J49" i="37"/>
  <c r="C8" i="10"/>
  <c r="F8" i="10" s="1"/>
  <c r="C8" i="12"/>
  <c r="F8" i="12" s="1"/>
  <c r="C8" i="24"/>
  <c r="F8" i="24" s="1"/>
  <c r="C8" i="26"/>
  <c r="F8" i="26" s="1"/>
  <c r="C8" i="19"/>
  <c r="F8" i="19" s="1"/>
  <c r="C8" i="27"/>
  <c r="C21" i="4"/>
  <c r="C9" i="6"/>
  <c r="F9" i="6" s="1"/>
  <c r="C8" i="31"/>
  <c r="C8" i="14"/>
  <c r="F8" i="14" s="1"/>
  <c r="C9" i="20"/>
  <c r="C8" i="8"/>
  <c r="F8" i="8" s="1"/>
  <c r="C8" i="13"/>
  <c r="F8" i="13" s="1"/>
  <c r="C8" i="29"/>
  <c r="C9" i="17"/>
  <c r="F9" i="17" s="1"/>
  <c r="K657" i="47" l="1"/>
  <c r="L657" i="47"/>
  <c r="K369" i="47"/>
  <c r="L369" i="47"/>
  <c r="L191" i="47"/>
  <c r="K191" i="47"/>
  <c r="K279" i="47"/>
  <c r="L279" i="47"/>
  <c r="K304" i="47"/>
  <c r="L304" i="47"/>
  <c r="K395" i="47"/>
  <c r="L395" i="47"/>
  <c r="L219" i="47"/>
  <c r="K219" i="47"/>
  <c r="L232" i="47"/>
  <c r="K232" i="47"/>
  <c r="L255" i="47"/>
  <c r="K255" i="47"/>
  <c r="L512" i="47"/>
  <c r="K512" i="47"/>
  <c r="K204" i="47"/>
  <c r="L204" i="47"/>
  <c r="L173" i="47"/>
  <c r="K173" i="47"/>
  <c r="K603" i="47"/>
  <c r="L603" i="47"/>
  <c r="L409" i="47"/>
  <c r="K409" i="47"/>
  <c r="L370" i="47"/>
  <c r="K370" i="47"/>
  <c r="L280" i="47"/>
  <c r="K280" i="47"/>
  <c r="L192" i="47"/>
  <c r="K192" i="47"/>
  <c r="K305" i="47"/>
  <c r="L305" i="47"/>
  <c r="K233" i="47"/>
  <c r="L233" i="47"/>
  <c r="K513" i="47"/>
  <c r="L513" i="47"/>
  <c r="L174" i="47"/>
  <c r="K174" i="47"/>
  <c r="L604" i="47"/>
  <c r="K604" i="47"/>
  <c r="K635" i="47"/>
  <c r="L635" i="47"/>
  <c r="L396" i="47"/>
  <c r="K396" i="47"/>
  <c r="L220" i="47"/>
  <c r="K220" i="47"/>
  <c r="L256" i="47"/>
  <c r="K256" i="47"/>
  <c r="K205" i="47"/>
  <c r="L205" i="47"/>
  <c r="L521" i="47"/>
  <c r="K521" i="47"/>
  <c r="L96" i="47"/>
  <c r="K96" i="47"/>
  <c r="L434" i="47"/>
  <c r="K434" i="47"/>
  <c r="L435" i="47"/>
  <c r="K435" i="47"/>
  <c r="K2" i="35"/>
  <c r="G7" i="35"/>
  <c r="H7" i="35"/>
  <c r="I7" i="35"/>
  <c r="J7" i="35"/>
  <c r="H7" i="15"/>
  <c r="G7" i="15"/>
  <c r="I7" i="15"/>
  <c r="J7" i="15"/>
  <c r="G7" i="11"/>
  <c r="I7" i="11"/>
  <c r="H7" i="11"/>
  <c r="J7" i="11"/>
  <c r="G7" i="21"/>
  <c r="H7" i="21"/>
  <c r="I7" i="21"/>
  <c r="J7" i="21"/>
  <c r="J9" i="5"/>
  <c r="H9" i="5"/>
  <c r="I9" i="5"/>
  <c r="G9" i="5"/>
  <c r="J8" i="6"/>
  <c r="G8" i="6"/>
  <c r="H8" i="6"/>
  <c r="I8" i="6"/>
  <c r="J7" i="14"/>
  <c r="G7" i="14"/>
  <c r="I7" i="14"/>
  <c r="H7" i="14"/>
  <c r="H7" i="10"/>
  <c r="G7" i="10"/>
  <c r="J7" i="10"/>
  <c r="I7" i="10"/>
  <c r="J7" i="8"/>
  <c r="G7" i="8"/>
  <c r="H7" i="8"/>
  <c r="I7" i="8"/>
  <c r="J7" i="12"/>
  <c r="G7" i="12"/>
  <c r="H7" i="12"/>
  <c r="I7" i="12"/>
  <c r="H7" i="13"/>
  <c r="J7" i="13"/>
  <c r="I7" i="13"/>
  <c r="G7" i="13"/>
  <c r="I7" i="24"/>
  <c r="J7" i="24"/>
  <c r="H7" i="24"/>
  <c r="G7" i="24"/>
  <c r="J7" i="26"/>
  <c r="I7" i="26"/>
  <c r="H7" i="26"/>
  <c r="G7" i="26"/>
  <c r="J7" i="31"/>
  <c r="H7" i="31"/>
  <c r="G7" i="31"/>
  <c r="I7" i="31"/>
  <c r="G8" i="17"/>
  <c r="H8" i="17"/>
  <c r="I8" i="17"/>
  <c r="J8" i="17"/>
  <c r="J7" i="46"/>
  <c r="I7" i="46"/>
  <c r="G7" i="46"/>
  <c r="H7" i="46"/>
  <c r="G6" i="7"/>
  <c r="J6" i="7"/>
  <c r="I6" i="7"/>
  <c r="H6" i="7"/>
  <c r="H8" i="15"/>
  <c r="G8" i="15"/>
  <c r="J8" i="15"/>
  <c r="I8" i="15"/>
  <c r="G8" i="21"/>
  <c r="I8" i="21"/>
  <c r="J8" i="21"/>
  <c r="H8" i="21"/>
  <c r="J8" i="11"/>
  <c r="H8" i="11"/>
  <c r="G8" i="11"/>
  <c r="I8" i="11"/>
  <c r="H10" i="5"/>
  <c r="I10" i="5"/>
  <c r="J10" i="5"/>
  <c r="G10" i="5"/>
  <c r="G8" i="10"/>
  <c r="J8" i="10"/>
  <c r="I8" i="10"/>
  <c r="H8" i="10"/>
  <c r="I8" i="12"/>
  <c r="J8" i="12"/>
  <c r="G8" i="12"/>
  <c r="H8" i="12"/>
  <c r="G8" i="24"/>
  <c r="H8" i="24"/>
  <c r="I8" i="24"/>
  <c r="J8" i="24"/>
  <c r="G8" i="26"/>
  <c r="H8" i="26"/>
  <c r="J8" i="26"/>
  <c r="I8" i="26"/>
  <c r="G8" i="19"/>
  <c r="H8" i="19"/>
  <c r="I8" i="19"/>
  <c r="J8" i="19"/>
  <c r="G9" i="6"/>
  <c r="H9" i="6"/>
  <c r="I9" i="6"/>
  <c r="J9" i="6"/>
  <c r="H8" i="14"/>
  <c r="G8" i="14"/>
  <c r="I8" i="14"/>
  <c r="J8" i="14"/>
  <c r="J8" i="8"/>
  <c r="I8" i="8"/>
  <c r="G8" i="8"/>
  <c r="H8" i="8"/>
  <c r="H8" i="13"/>
  <c r="J8" i="13"/>
  <c r="G8" i="13"/>
  <c r="I8" i="13"/>
  <c r="G9" i="17"/>
  <c r="H9" i="17"/>
  <c r="I9" i="17"/>
  <c r="J9" i="17"/>
  <c r="I9" i="4"/>
  <c r="H9" i="4"/>
  <c r="J9" i="4"/>
  <c r="G9" i="4"/>
  <c r="J2" i="39"/>
  <c r="H2" i="39"/>
  <c r="K26" i="37"/>
  <c r="M26" i="37"/>
  <c r="L26" i="37"/>
  <c r="F8" i="33"/>
  <c r="F8" i="18"/>
  <c r="F8" i="27"/>
  <c r="F21" i="4"/>
  <c r="F8" i="31"/>
  <c r="F9" i="20"/>
  <c r="F8" i="29"/>
  <c r="F8" i="46"/>
  <c r="C9" i="46"/>
  <c r="F3" i="39"/>
  <c r="I27" i="37"/>
  <c r="L27" i="37" s="1"/>
  <c r="K16" i="39"/>
  <c r="F7" i="7"/>
  <c r="C8" i="7"/>
  <c r="H27" i="37"/>
  <c r="J27" i="37"/>
  <c r="C9" i="18"/>
  <c r="C9" i="15"/>
  <c r="F9" i="15" s="1"/>
  <c r="C9" i="33"/>
  <c r="F9" i="33" s="1"/>
  <c r="C9" i="21"/>
  <c r="F9" i="21" s="1"/>
  <c r="C9" i="11"/>
  <c r="C23" i="4"/>
  <c r="F23" i="4" s="1"/>
  <c r="F10" i="4"/>
  <c r="C11" i="5"/>
  <c r="C9" i="10"/>
  <c r="C9" i="12"/>
  <c r="C9" i="24"/>
  <c r="F9" i="24" s="1"/>
  <c r="C9" i="26"/>
  <c r="F9" i="26" s="1"/>
  <c r="C9" i="19"/>
  <c r="F9" i="19" s="1"/>
  <c r="C9" i="27"/>
  <c r="F9" i="27" s="1"/>
  <c r="K49" i="37"/>
  <c r="L49" i="37"/>
  <c r="M49" i="37"/>
  <c r="J25" i="39"/>
  <c r="H25" i="39"/>
  <c r="L25" i="39" s="1"/>
  <c r="C10" i="20"/>
  <c r="F10" i="20" s="1"/>
  <c r="C9" i="8"/>
  <c r="C22" i="4"/>
  <c r="C10" i="6"/>
  <c r="C9" i="31"/>
  <c r="F9" i="31" s="1"/>
  <c r="C10" i="17"/>
  <c r="F10" i="17" s="1"/>
  <c r="C9" i="14"/>
  <c r="C9" i="13"/>
  <c r="C9" i="29"/>
  <c r="F9" i="29" s="1"/>
  <c r="K470" i="47" l="1"/>
  <c r="L470" i="47"/>
  <c r="L63" i="47"/>
  <c r="K63" i="47"/>
  <c r="L48" i="47"/>
  <c r="K48" i="47"/>
  <c r="K497" i="47"/>
  <c r="L497" i="47"/>
  <c r="L350" i="47"/>
  <c r="K350" i="47"/>
  <c r="K410" i="47"/>
  <c r="L410" i="47"/>
  <c r="L371" i="47"/>
  <c r="K371" i="47"/>
  <c r="K471" i="47"/>
  <c r="L471" i="47"/>
  <c r="L281" i="47"/>
  <c r="K281" i="47"/>
  <c r="L175" i="47"/>
  <c r="K175" i="47"/>
  <c r="K605" i="47"/>
  <c r="L605" i="47"/>
  <c r="K636" i="47"/>
  <c r="L636" i="47"/>
  <c r="L64" i="47"/>
  <c r="K64" i="47"/>
  <c r="K498" i="47"/>
  <c r="L498" i="47"/>
  <c r="L351" i="47"/>
  <c r="K351" i="47"/>
  <c r="L331" i="47"/>
  <c r="K331" i="47"/>
  <c r="L522" i="47"/>
  <c r="K522" i="47"/>
  <c r="L97" i="47"/>
  <c r="K97" i="47"/>
  <c r="L98" i="47"/>
  <c r="K98" i="47"/>
  <c r="L436" i="47"/>
  <c r="K436" i="47"/>
  <c r="J8" i="33"/>
  <c r="G8" i="33"/>
  <c r="I8" i="33"/>
  <c r="H8" i="33"/>
  <c r="J8" i="18"/>
  <c r="G8" i="18"/>
  <c r="H8" i="18"/>
  <c r="I8" i="18"/>
  <c r="I8" i="27"/>
  <c r="J8" i="27"/>
  <c r="H8" i="27"/>
  <c r="G8" i="27"/>
  <c r="G8" i="31"/>
  <c r="H8" i="31"/>
  <c r="J8" i="31"/>
  <c r="I8" i="31"/>
  <c r="G9" i="20"/>
  <c r="J9" i="20"/>
  <c r="H9" i="20"/>
  <c r="I9" i="20"/>
  <c r="G8" i="29"/>
  <c r="I8" i="29"/>
  <c r="H8" i="29"/>
  <c r="J8" i="29"/>
  <c r="I8" i="46"/>
  <c r="J8" i="46"/>
  <c r="G8" i="46"/>
  <c r="H8" i="46"/>
  <c r="J7" i="7"/>
  <c r="I7" i="7"/>
  <c r="H7" i="7"/>
  <c r="G7" i="7"/>
  <c r="G9" i="15"/>
  <c r="H9" i="15"/>
  <c r="I9" i="15"/>
  <c r="J9" i="15"/>
  <c r="G9" i="33"/>
  <c r="J9" i="33"/>
  <c r="I9" i="33"/>
  <c r="H9" i="33"/>
  <c r="G9" i="21"/>
  <c r="H9" i="21"/>
  <c r="I9" i="21"/>
  <c r="J9" i="21"/>
  <c r="H9" i="24"/>
  <c r="I9" i="24"/>
  <c r="J9" i="24"/>
  <c r="G9" i="24"/>
  <c r="J9" i="26"/>
  <c r="I9" i="26"/>
  <c r="G9" i="26"/>
  <c r="H9" i="26"/>
  <c r="G9" i="19"/>
  <c r="H9" i="19"/>
  <c r="I9" i="19"/>
  <c r="J9" i="19"/>
  <c r="G9" i="27"/>
  <c r="I9" i="27"/>
  <c r="J9" i="27"/>
  <c r="H9" i="27"/>
  <c r="G10" i="20"/>
  <c r="H10" i="20"/>
  <c r="I10" i="20"/>
  <c r="J10" i="20"/>
  <c r="G9" i="31"/>
  <c r="J9" i="31"/>
  <c r="I9" i="31"/>
  <c r="H9" i="31"/>
  <c r="H10" i="17"/>
  <c r="J10" i="17"/>
  <c r="I10" i="17"/>
  <c r="G10" i="17"/>
  <c r="J9" i="29"/>
  <c r="I9" i="29"/>
  <c r="H9" i="29"/>
  <c r="G9" i="29"/>
  <c r="J21" i="4"/>
  <c r="H21" i="4"/>
  <c r="G21" i="4"/>
  <c r="I21" i="4"/>
  <c r="J23" i="4"/>
  <c r="I23" i="4"/>
  <c r="H23" i="4"/>
  <c r="G23" i="4"/>
  <c r="J10" i="4"/>
  <c r="I10" i="4"/>
  <c r="H10" i="4"/>
  <c r="G10" i="4"/>
  <c r="L2" i="39"/>
  <c r="K2" i="39"/>
  <c r="N26" i="37"/>
  <c r="P26" i="37" s="1"/>
  <c r="O26" i="37"/>
  <c r="F22" i="4"/>
  <c r="E24" i="39"/>
  <c r="F9" i="18"/>
  <c r="F9" i="11"/>
  <c r="F11" i="5"/>
  <c r="F9" i="10"/>
  <c r="F9" i="12"/>
  <c r="F9" i="8"/>
  <c r="F10" i="6"/>
  <c r="F9" i="14"/>
  <c r="F9" i="13"/>
  <c r="F9" i="46"/>
  <c r="C10" i="46"/>
  <c r="F8" i="7"/>
  <c r="C9" i="7"/>
  <c r="I3" i="39"/>
  <c r="H3" i="39"/>
  <c r="J3" i="39"/>
  <c r="M27" i="37"/>
  <c r="K27" i="37"/>
  <c r="C10" i="18"/>
  <c r="F10" i="18" s="1"/>
  <c r="C10" i="15"/>
  <c r="F10" i="15" s="1"/>
  <c r="C10" i="21"/>
  <c r="F10" i="21" s="1"/>
  <c r="C10" i="33"/>
  <c r="K25" i="39"/>
  <c r="C10" i="11"/>
  <c r="F10" i="11" s="1"/>
  <c r="F11" i="4"/>
  <c r="C12" i="5"/>
  <c r="F12" i="5" s="1"/>
  <c r="C10" i="10"/>
  <c r="F10" i="10" s="1"/>
  <c r="C10" i="12"/>
  <c r="F10" i="12" s="1"/>
  <c r="C10" i="24"/>
  <c r="F10" i="24" s="1"/>
  <c r="C10" i="26"/>
  <c r="F10" i="26" s="1"/>
  <c r="C10" i="19"/>
  <c r="C10" i="27"/>
  <c r="F10" i="27" s="1"/>
  <c r="C11" i="20"/>
  <c r="C10" i="8"/>
  <c r="F10" i="8" s="1"/>
  <c r="O49" i="37"/>
  <c r="N49" i="37"/>
  <c r="P49" i="37" s="1"/>
  <c r="C11" i="6"/>
  <c r="F11" i="6" s="1"/>
  <c r="C10" i="31"/>
  <c r="F10" i="31" s="1"/>
  <c r="C11" i="17"/>
  <c r="F11" i="17" s="1"/>
  <c r="C10" i="14"/>
  <c r="F10" i="14" s="1"/>
  <c r="C10" i="13"/>
  <c r="C10" i="29"/>
  <c r="L49" i="47" l="1"/>
  <c r="K49" i="47"/>
  <c r="L193" i="47"/>
  <c r="K193" i="47"/>
  <c r="K306" i="47"/>
  <c r="L306" i="47"/>
  <c r="L234" i="47"/>
  <c r="K234" i="47"/>
  <c r="L514" i="47"/>
  <c r="K514" i="47"/>
  <c r="L257" i="47"/>
  <c r="K257" i="47"/>
  <c r="L397" i="47"/>
  <c r="K397" i="47"/>
  <c r="L221" i="47"/>
  <c r="K221" i="47"/>
  <c r="L206" i="47"/>
  <c r="K206" i="47"/>
  <c r="K411" i="47"/>
  <c r="L411" i="47"/>
  <c r="L372" i="47"/>
  <c r="K372" i="47"/>
  <c r="K282" i="47"/>
  <c r="L282" i="47"/>
  <c r="L194" i="47"/>
  <c r="K194" i="47"/>
  <c r="K307" i="47"/>
  <c r="L307" i="47"/>
  <c r="K235" i="47"/>
  <c r="L235" i="47"/>
  <c r="L515" i="47"/>
  <c r="K515" i="47"/>
  <c r="L176" i="47"/>
  <c r="K176" i="47"/>
  <c r="L606" i="47"/>
  <c r="K606" i="47"/>
  <c r="L65" i="47"/>
  <c r="K65" i="47"/>
  <c r="K258" i="47"/>
  <c r="L258" i="47"/>
  <c r="L398" i="47"/>
  <c r="K398" i="47"/>
  <c r="L222" i="47"/>
  <c r="K222" i="47"/>
  <c r="L332" i="47"/>
  <c r="K332" i="47"/>
  <c r="L333" i="47"/>
  <c r="K333" i="47"/>
  <c r="L523" i="47"/>
  <c r="K523" i="47"/>
  <c r="L99" i="47"/>
  <c r="K99" i="47"/>
  <c r="L437" i="47"/>
  <c r="K437" i="47"/>
  <c r="J9" i="18"/>
  <c r="G9" i="18"/>
  <c r="H9" i="18"/>
  <c r="I9" i="18"/>
  <c r="I9" i="11"/>
  <c r="H9" i="11"/>
  <c r="J9" i="11"/>
  <c r="G9" i="11"/>
  <c r="G11" i="5"/>
  <c r="I11" i="5"/>
  <c r="J11" i="5"/>
  <c r="H11" i="5"/>
  <c r="J9" i="10"/>
  <c r="I9" i="10"/>
  <c r="H9" i="10"/>
  <c r="G9" i="10"/>
  <c r="J9" i="12"/>
  <c r="I9" i="12"/>
  <c r="H9" i="12"/>
  <c r="G9" i="12"/>
  <c r="J9" i="8"/>
  <c r="H9" i="8"/>
  <c r="I9" i="8"/>
  <c r="G9" i="8"/>
  <c r="J10" i="6"/>
  <c r="I10" i="6"/>
  <c r="H10" i="6"/>
  <c r="G10" i="6"/>
  <c r="G9" i="14"/>
  <c r="J9" i="14"/>
  <c r="I9" i="14"/>
  <c r="H9" i="14"/>
  <c r="J9" i="13"/>
  <c r="H9" i="13"/>
  <c r="I9" i="13"/>
  <c r="G9" i="13"/>
  <c r="G9" i="46"/>
  <c r="H9" i="46"/>
  <c r="I9" i="46"/>
  <c r="J9" i="46"/>
  <c r="J8" i="7"/>
  <c r="I8" i="7"/>
  <c r="H8" i="7"/>
  <c r="G8" i="7"/>
  <c r="G10" i="18"/>
  <c r="J10" i="18"/>
  <c r="H10" i="18"/>
  <c r="I10" i="18"/>
  <c r="I10" i="15"/>
  <c r="G10" i="15"/>
  <c r="J10" i="15"/>
  <c r="H10" i="15"/>
  <c r="I10" i="21"/>
  <c r="H10" i="21"/>
  <c r="G10" i="21"/>
  <c r="J10" i="21"/>
  <c r="H10" i="11"/>
  <c r="G10" i="11"/>
  <c r="I10" i="11"/>
  <c r="J10" i="11"/>
  <c r="H12" i="5"/>
  <c r="J12" i="5"/>
  <c r="I12" i="5"/>
  <c r="G12" i="5"/>
  <c r="I10" i="10"/>
  <c r="J10" i="10"/>
  <c r="H10" i="10"/>
  <c r="G10" i="10"/>
  <c r="J10" i="12"/>
  <c r="I10" i="12"/>
  <c r="G10" i="12"/>
  <c r="H10" i="12"/>
  <c r="J10" i="24"/>
  <c r="H10" i="24"/>
  <c r="I10" i="24"/>
  <c r="G10" i="24"/>
  <c r="I10" i="26"/>
  <c r="H10" i="26"/>
  <c r="G10" i="26"/>
  <c r="J10" i="26"/>
  <c r="I10" i="27"/>
  <c r="G10" i="27"/>
  <c r="J10" i="27"/>
  <c r="H10" i="27"/>
  <c r="J10" i="8"/>
  <c r="I10" i="8"/>
  <c r="H10" i="8"/>
  <c r="G10" i="8"/>
  <c r="H11" i="6"/>
  <c r="I11" i="6"/>
  <c r="J11" i="6"/>
  <c r="G11" i="6"/>
  <c r="H10" i="31"/>
  <c r="J10" i="31"/>
  <c r="I10" i="31"/>
  <c r="G10" i="31"/>
  <c r="G11" i="17"/>
  <c r="I11" i="17"/>
  <c r="J11" i="17"/>
  <c r="H11" i="17"/>
  <c r="H10" i="14"/>
  <c r="I10" i="14"/>
  <c r="G10" i="14"/>
  <c r="J10" i="14"/>
  <c r="J22" i="4"/>
  <c r="I22" i="4"/>
  <c r="H22" i="4"/>
  <c r="G22" i="4"/>
  <c r="I11" i="4"/>
  <c r="G11" i="4"/>
  <c r="J11" i="4"/>
  <c r="H11" i="4"/>
  <c r="F10" i="33"/>
  <c r="F10" i="19"/>
  <c r="F11" i="20"/>
  <c r="F10" i="13"/>
  <c r="F10" i="29"/>
  <c r="F10" i="46"/>
  <c r="C11" i="46"/>
  <c r="F9" i="7"/>
  <c r="C10" i="7"/>
  <c r="L3" i="39"/>
  <c r="K3" i="39"/>
  <c r="N27" i="37"/>
  <c r="P27" i="37" s="1"/>
  <c r="O27" i="37"/>
  <c r="C11" i="18"/>
  <c r="F11" i="18" s="1"/>
  <c r="C11" i="21"/>
  <c r="F11" i="21" s="1"/>
  <c r="C11" i="15"/>
  <c r="F11" i="15" s="1"/>
  <c r="C11" i="33"/>
  <c r="F11" i="33" s="1"/>
  <c r="C11" i="11"/>
  <c r="F11" i="11" s="1"/>
  <c r="F12" i="4"/>
  <c r="C13" i="5"/>
  <c r="C11" i="10"/>
  <c r="F11" i="10" s="1"/>
  <c r="C11" i="12"/>
  <c r="F11" i="12" s="1"/>
  <c r="C11" i="24"/>
  <c r="F11" i="24" s="1"/>
  <c r="C11" i="26"/>
  <c r="F11" i="26" s="1"/>
  <c r="C11" i="19"/>
  <c r="F11" i="19" s="1"/>
  <c r="C11" i="27"/>
  <c r="F11" i="27" s="1"/>
  <c r="C12" i="20"/>
  <c r="F12" i="20" s="1"/>
  <c r="C11" i="8"/>
  <c r="F11" i="8" s="1"/>
  <c r="C11" i="29"/>
  <c r="F11" i="29" s="1"/>
  <c r="F24" i="4"/>
  <c r="C12" i="6"/>
  <c r="F12" i="6" s="1"/>
  <c r="C11" i="31"/>
  <c r="F11" i="31" s="1"/>
  <c r="C12" i="17"/>
  <c r="F12" i="17" s="1"/>
  <c r="C11" i="14"/>
  <c r="F11" i="14" s="1"/>
  <c r="C11" i="13"/>
  <c r="F11" i="13" s="1"/>
  <c r="L472" i="47" l="1"/>
  <c r="K472" i="47"/>
  <c r="K637" i="47"/>
  <c r="L637" i="47"/>
  <c r="L499" i="47"/>
  <c r="K499" i="47"/>
  <c r="L207" i="47"/>
  <c r="K207" i="47"/>
  <c r="L352" i="47"/>
  <c r="K352" i="47"/>
  <c r="L412" i="47"/>
  <c r="K412" i="47"/>
  <c r="L283" i="47"/>
  <c r="K283" i="47"/>
  <c r="L373" i="47"/>
  <c r="K373" i="47"/>
  <c r="L473" i="47"/>
  <c r="K473" i="47"/>
  <c r="K195" i="47"/>
  <c r="L195" i="47"/>
  <c r="K236" i="47"/>
  <c r="L236" i="47"/>
  <c r="K516" i="47"/>
  <c r="L516" i="47"/>
  <c r="K177" i="47"/>
  <c r="L177" i="47"/>
  <c r="K607" i="47"/>
  <c r="L607" i="47"/>
  <c r="K638" i="47"/>
  <c r="L638" i="47"/>
  <c r="K66" i="47"/>
  <c r="L66" i="47"/>
  <c r="L500" i="47"/>
  <c r="K500" i="47"/>
  <c r="L259" i="47"/>
  <c r="K259" i="47"/>
  <c r="K353" i="47"/>
  <c r="L353" i="47"/>
  <c r="L399" i="47"/>
  <c r="K399" i="47"/>
  <c r="L223" i="47"/>
  <c r="K223" i="47"/>
  <c r="K208" i="47"/>
  <c r="L208" i="47"/>
  <c r="L334" i="47"/>
  <c r="K334" i="47"/>
  <c r="L524" i="47"/>
  <c r="K524" i="47"/>
  <c r="L100" i="47"/>
  <c r="K100" i="47"/>
  <c r="L438" i="47"/>
  <c r="K438" i="47"/>
  <c r="J10" i="33"/>
  <c r="I10" i="33"/>
  <c r="H10" i="33"/>
  <c r="G10" i="33"/>
  <c r="J10" i="19"/>
  <c r="I10" i="19"/>
  <c r="H10" i="19"/>
  <c r="G10" i="19"/>
  <c r="I11" i="20"/>
  <c r="J11" i="20"/>
  <c r="H11" i="20"/>
  <c r="G11" i="20"/>
  <c r="I10" i="13"/>
  <c r="H10" i="13"/>
  <c r="G10" i="13"/>
  <c r="J10" i="13"/>
  <c r="G10" i="29"/>
  <c r="H10" i="29"/>
  <c r="I10" i="29"/>
  <c r="J10" i="29"/>
  <c r="J10" i="46"/>
  <c r="I10" i="46"/>
  <c r="H10" i="46"/>
  <c r="G10" i="46"/>
  <c r="I9" i="7"/>
  <c r="H9" i="7"/>
  <c r="G9" i="7"/>
  <c r="J9" i="7"/>
  <c r="H11" i="18"/>
  <c r="I11" i="18"/>
  <c r="J11" i="18"/>
  <c r="G11" i="18"/>
  <c r="G11" i="21"/>
  <c r="H11" i="21"/>
  <c r="I11" i="21"/>
  <c r="J11" i="21"/>
  <c r="H11" i="15"/>
  <c r="G11" i="15"/>
  <c r="J11" i="15"/>
  <c r="I11" i="15"/>
  <c r="G11" i="33"/>
  <c r="H11" i="33"/>
  <c r="J11" i="33"/>
  <c r="I11" i="33"/>
  <c r="J11" i="11"/>
  <c r="G11" i="11"/>
  <c r="I11" i="11"/>
  <c r="H11" i="11"/>
  <c r="G11" i="10"/>
  <c r="H11" i="10"/>
  <c r="I11" i="10"/>
  <c r="J11" i="10"/>
  <c r="I11" i="12"/>
  <c r="J11" i="12"/>
  <c r="H11" i="12"/>
  <c r="G11" i="12"/>
  <c r="H11" i="24"/>
  <c r="I11" i="24"/>
  <c r="J11" i="24"/>
  <c r="G11" i="24"/>
  <c r="I11" i="26"/>
  <c r="H11" i="26"/>
  <c r="G11" i="26"/>
  <c r="J11" i="26"/>
  <c r="I11" i="19"/>
  <c r="H11" i="19"/>
  <c r="G11" i="19"/>
  <c r="J11" i="19"/>
  <c r="G11" i="27"/>
  <c r="H11" i="27"/>
  <c r="I11" i="27"/>
  <c r="J11" i="27"/>
  <c r="J12" i="20"/>
  <c r="I12" i="20"/>
  <c r="H12" i="20"/>
  <c r="G12" i="20"/>
  <c r="H11" i="8"/>
  <c r="G11" i="8"/>
  <c r="J11" i="8"/>
  <c r="I11" i="8"/>
  <c r="J11" i="29"/>
  <c r="I11" i="29"/>
  <c r="G11" i="29"/>
  <c r="H11" i="29"/>
  <c r="G12" i="6"/>
  <c r="H12" i="6"/>
  <c r="I12" i="6"/>
  <c r="J12" i="6"/>
  <c r="J11" i="31"/>
  <c r="I11" i="31"/>
  <c r="H11" i="31"/>
  <c r="G11" i="31"/>
  <c r="J12" i="17"/>
  <c r="I12" i="17"/>
  <c r="H12" i="17"/>
  <c r="G12" i="17"/>
  <c r="H11" i="14"/>
  <c r="I11" i="14"/>
  <c r="J11" i="14"/>
  <c r="G11" i="14"/>
  <c r="G11" i="13"/>
  <c r="H11" i="13"/>
  <c r="J11" i="13"/>
  <c r="I11" i="13"/>
  <c r="I12" i="4"/>
  <c r="G12" i="4"/>
  <c r="J12" i="4"/>
  <c r="H12" i="4"/>
  <c r="I24" i="4"/>
  <c r="H24" i="4"/>
  <c r="G24" i="4"/>
  <c r="J24" i="4"/>
  <c r="F13" i="5"/>
  <c r="F11" i="46"/>
  <c r="C12" i="46"/>
  <c r="F10" i="7"/>
  <c r="C11" i="7"/>
  <c r="C12" i="18"/>
  <c r="F12" i="18" s="1"/>
  <c r="C12" i="21"/>
  <c r="F12" i="21" s="1"/>
  <c r="C12" i="15"/>
  <c r="F12" i="15" s="1"/>
  <c r="C12" i="33"/>
  <c r="F12" i="33" s="1"/>
  <c r="C12" i="11"/>
  <c r="F12" i="11" s="1"/>
  <c r="F13" i="4"/>
  <c r="C14" i="5"/>
  <c r="F14" i="5" s="1"/>
  <c r="C12" i="10"/>
  <c r="F12" i="10" s="1"/>
  <c r="C12" i="12"/>
  <c r="C12" i="24"/>
  <c r="F12" i="24" s="1"/>
  <c r="C12" i="26"/>
  <c r="F12" i="26" s="1"/>
  <c r="C12" i="19"/>
  <c r="F12" i="19" s="1"/>
  <c r="C12" i="27"/>
  <c r="F12" i="27" s="1"/>
  <c r="C13" i="20"/>
  <c r="F13" i="20" s="1"/>
  <c r="C12" i="8"/>
  <c r="F12" i="8" s="1"/>
  <c r="C12" i="29"/>
  <c r="F12" i="29" s="1"/>
  <c r="C13" i="6"/>
  <c r="F13" i="6" s="1"/>
  <c r="C12" i="31"/>
  <c r="F12" i="31" s="1"/>
  <c r="C13" i="17"/>
  <c r="F13" i="17" s="1"/>
  <c r="C12" i="14"/>
  <c r="F12" i="14" s="1"/>
  <c r="C12" i="13"/>
  <c r="F12" i="13" s="1"/>
  <c r="K308" i="47" l="1"/>
  <c r="L308" i="47"/>
  <c r="L413" i="47"/>
  <c r="K413" i="47"/>
  <c r="L284" i="47"/>
  <c r="K284" i="47"/>
  <c r="L374" i="47"/>
  <c r="K374" i="47"/>
  <c r="L474" i="47"/>
  <c r="K474" i="47"/>
  <c r="L196" i="47"/>
  <c r="K196" i="47"/>
  <c r="K309" i="47"/>
  <c r="L309" i="47"/>
  <c r="K237" i="47"/>
  <c r="L237" i="47"/>
  <c r="K178" i="47"/>
  <c r="L178" i="47"/>
  <c r="K608" i="47"/>
  <c r="L608" i="47"/>
  <c r="L639" i="47"/>
  <c r="K639" i="47"/>
  <c r="L67" i="47"/>
  <c r="K67" i="47"/>
  <c r="L501" i="47"/>
  <c r="K501" i="47"/>
  <c r="K260" i="47"/>
  <c r="L260" i="47"/>
  <c r="K354" i="47"/>
  <c r="L354" i="47"/>
  <c r="K400" i="47"/>
  <c r="L400" i="47"/>
  <c r="L224" i="47"/>
  <c r="K224" i="47"/>
  <c r="L209" i="47"/>
  <c r="K209" i="47"/>
  <c r="L335" i="47"/>
  <c r="K335" i="47"/>
  <c r="L525" i="47"/>
  <c r="K525" i="47"/>
  <c r="L101" i="47"/>
  <c r="K101" i="47"/>
  <c r="L439" i="47"/>
  <c r="K439" i="47"/>
  <c r="J13" i="5"/>
  <c r="G13" i="5"/>
  <c r="H13" i="5"/>
  <c r="I13" i="5"/>
  <c r="J11" i="46"/>
  <c r="I11" i="46"/>
  <c r="H11" i="46"/>
  <c r="G11" i="46"/>
  <c r="J10" i="7"/>
  <c r="I10" i="7"/>
  <c r="G10" i="7"/>
  <c r="H10" i="7"/>
  <c r="I12" i="18"/>
  <c r="J12" i="18"/>
  <c r="G12" i="18"/>
  <c r="H12" i="18"/>
  <c r="I12" i="21"/>
  <c r="J12" i="21"/>
  <c r="G12" i="21"/>
  <c r="H12" i="21"/>
  <c r="H12" i="15"/>
  <c r="G12" i="15"/>
  <c r="I12" i="15"/>
  <c r="J12" i="15"/>
  <c r="J12" i="33"/>
  <c r="I12" i="33"/>
  <c r="H12" i="33"/>
  <c r="G12" i="33"/>
  <c r="G12" i="11"/>
  <c r="I12" i="11"/>
  <c r="H12" i="11"/>
  <c r="J12" i="11"/>
  <c r="I14" i="5"/>
  <c r="H14" i="5"/>
  <c r="G14" i="5"/>
  <c r="J14" i="5"/>
  <c r="G12" i="10"/>
  <c r="H12" i="10"/>
  <c r="I12" i="10"/>
  <c r="J12" i="10"/>
  <c r="I12" i="24"/>
  <c r="H12" i="24"/>
  <c r="J12" i="24"/>
  <c r="G12" i="24"/>
  <c r="G12" i="26"/>
  <c r="J12" i="26"/>
  <c r="I12" i="26"/>
  <c r="H12" i="26"/>
  <c r="I12" i="19"/>
  <c r="H12" i="19"/>
  <c r="G12" i="19"/>
  <c r="J12" i="19"/>
  <c r="H12" i="27"/>
  <c r="J12" i="27"/>
  <c r="G12" i="27"/>
  <c r="I12" i="27"/>
  <c r="I13" i="20"/>
  <c r="H13" i="20"/>
  <c r="G13" i="20"/>
  <c r="J13" i="20"/>
  <c r="I12" i="8"/>
  <c r="H12" i="8"/>
  <c r="G12" i="8"/>
  <c r="J12" i="8"/>
  <c r="I12" i="29"/>
  <c r="G12" i="29"/>
  <c r="H12" i="29"/>
  <c r="J12" i="29"/>
  <c r="I13" i="6"/>
  <c r="H13" i="6"/>
  <c r="G13" i="6"/>
  <c r="J13" i="6"/>
  <c r="J12" i="31"/>
  <c r="I12" i="31"/>
  <c r="H12" i="31"/>
  <c r="G12" i="31"/>
  <c r="J13" i="17"/>
  <c r="G13" i="17"/>
  <c r="H13" i="17"/>
  <c r="I13" i="17"/>
  <c r="I12" i="14"/>
  <c r="G12" i="14"/>
  <c r="H12" i="14"/>
  <c r="J12" i="14"/>
  <c r="G12" i="13"/>
  <c r="J12" i="13"/>
  <c r="I12" i="13"/>
  <c r="H12" i="13"/>
  <c r="J13" i="4"/>
  <c r="G13" i="4"/>
  <c r="I13" i="4"/>
  <c r="H13" i="4"/>
  <c r="I25" i="4"/>
  <c r="G25" i="4"/>
  <c r="J25" i="4"/>
  <c r="H25" i="4"/>
  <c r="F11" i="7"/>
  <c r="C12" i="7"/>
  <c r="F12" i="12"/>
  <c r="E28" i="39"/>
  <c r="F12" i="46"/>
  <c r="C13" i="46"/>
  <c r="C13" i="18"/>
  <c r="F13" i="18" s="1"/>
  <c r="C13" i="21"/>
  <c r="F13" i="21" s="1"/>
  <c r="C13" i="15"/>
  <c r="F13" i="15" s="1"/>
  <c r="C13" i="33"/>
  <c r="F13" i="33" s="1"/>
  <c r="C13" i="11"/>
  <c r="F13" i="11" s="1"/>
  <c r="F14" i="4"/>
  <c r="G28" i="39"/>
  <c r="D28" i="39"/>
  <c r="G52" i="37"/>
  <c r="C15" i="5"/>
  <c r="F15" i="5" s="1"/>
  <c r="C13" i="10"/>
  <c r="F13" i="10" s="1"/>
  <c r="C13" i="24"/>
  <c r="F13" i="24" s="1"/>
  <c r="C13" i="26"/>
  <c r="F13" i="26" s="1"/>
  <c r="C13" i="19"/>
  <c r="F13" i="19" s="1"/>
  <c r="C13" i="27"/>
  <c r="F13" i="27" s="1"/>
  <c r="C14" i="20"/>
  <c r="F14" i="20" s="1"/>
  <c r="C13" i="8"/>
  <c r="F13" i="8" s="1"/>
  <c r="C13" i="29"/>
  <c r="F13" i="29" s="1"/>
  <c r="F26" i="4"/>
  <c r="C14" i="6"/>
  <c r="F14" i="6" s="1"/>
  <c r="C13" i="31"/>
  <c r="F13" i="31" s="1"/>
  <c r="C14" i="17"/>
  <c r="F14" i="17" s="1"/>
  <c r="C13" i="14"/>
  <c r="F13" i="14" s="1"/>
  <c r="C13" i="13"/>
  <c r="F13" i="13" s="1"/>
  <c r="L414" i="47" l="1"/>
  <c r="K414" i="47"/>
  <c r="K517" i="47"/>
  <c r="L517" i="47"/>
  <c r="K285" i="47"/>
  <c r="L285" i="47"/>
  <c r="K375" i="47"/>
  <c r="L375" i="47"/>
  <c r="K475" i="47"/>
  <c r="L475" i="47"/>
  <c r="K197" i="47"/>
  <c r="L197" i="47"/>
  <c r="L310" i="47"/>
  <c r="K310" i="47"/>
  <c r="K238" i="47"/>
  <c r="L238" i="47"/>
  <c r="K179" i="47"/>
  <c r="L179" i="47"/>
  <c r="K609" i="47"/>
  <c r="L609" i="47"/>
  <c r="L640" i="47"/>
  <c r="K640" i="47"/>
  <c r="K68" i="47"/>
  <c r="L68" i="47"/>
  <c r="L502" i="47"/>
  <c r="K502" i="47"/>
  <c r="L261" i="47"/>
  <c r="K261" i="47"/>
  <c r="L355" i="47"/>
  <c r="K355" i="47"/>
  <c r="K401" i="47"/>
  <c r="L401" i="47"/>
  <c r="L225" i="47"/>
  <c r="K225" i="47"/>
  <c r="L210" i="47"/>
  <c r="K210" i="47"/>
  <c r="L336" i="47"/>
  <c r="K336" i="47"/>
  <c r="L526" i="47"/>
  <c r="K526" i="47"/>
  <c r="L102" i="47"/>
  <c r="K102" i="47"/>
  <c r="L440" i="47"/>
  <c r="K440" i="47"/>
  <c r="I11" i="7"/>
  <c r="H11" i="7"/>
  <c r="G11" i="7"/>
  <c r="J11" i="7"/>
  <c r="I12" i="12"/>
  <c r="H12" i="12"/>
  <c r="G12" i="12"/>
  <c r="K2" i="12"/>
  <c r="J12" i="12"/>
  <c r="J12" i="46"/>
  <c r="I12" i="46"/>
  <c r="H12" i="46"/>
  <c r="G12" i="46"/>
  <c r="G13" i="18"/>
  <c r="H13" i="18"/>
  <c r="I13" i="18"/>
  <c r="J13" i="18"/>
  <c r="G13" i="21"/>
  <c r="H13" i="21"/>
  <c r="I13" i="21"/>
  <c r="J13" i="21"/>
  <c r="J13" i="15"/>
  <c r="G13" i="15"/>
  <c r="I13" i="15"/>
  <c r="H13" i="15"/>
  <c r="J13" i="33"/>
  <c r="I13" i="33"/>
  <c r="G13" i="33"/>
  <c r="H13" i="33"/>
  <c r="J13" i="11"/>
  <c r="I13" i="11"/>
  <c r="H13" i="11"/>
  <c r="G13" i="11"/>
  <c r="J15" i="5"/>
  <c r="G15" i="5"/>
  <c r="H15" i="5"/>
  <c r="I15" i="5"/>
  <c r="J13" i="10"/>
  <c r="I13" i="10"/>
  <c r="H13" i="10"/>
  <c r="G13" i="10"/>
  <c r="I13" i="24"/>
  <c r="G13" i="24"/>
  <c r="J13" i="24"/>
  <c r="H13" i="24"/>
  <c r="J13" i="26"/>
  <c r="I13" i="26"/>
  <c r="H13" i="26"/>
  <c r="G13" i="26"/>
  <c r="I13" i="19"/>
  <c r="H13" i="19"/>
  <c r="G13" i="19"/>
  <c r="J13" i="19"/>
  <c r="J13" i="27"/>
  <c r="H13" i="27"/>
  <c r="I13" i="27"/>
  <c r="G13" i="27"/>
  <c r="J14" i="20"/>
  <c r="H14" i="20"/>
  <c r="G14" i="20"/>
  <c r="I14" i="20"/>
  <c r="G13" i="8"/>
  <c r="H13" i="8"/>
  <c r="J13" i="8"/>
  <c r="I13" i="8"/>
  <c r="H13" i="29"/>
  <c r="J13" i="29"/>
  <c r="I13" i="29"/>
  <c r="G13" i="29"/>
  <c r="J14" i="6"/>
  <c r="I14" i="6"/>
  <c r="H14" i="6"/>
  <c r="G14" i="6"/>
  <c r="J13" i="31"/>
  <c r="I13" i="31"/>
  <c r="H13" i="31"/>
  <c r="G13" i="31"/>
  <c r="H14" i="17"/>
  <c r="G14" i="17"/>
  <c r="J14" i="17"/>
  <c r="I14" i="17"/>
  <c r="G13" i="14"/>
  <c r="H13" i="14"/>
  <c r="J13" i="14"/>
  <c r="I13" i="14"/>
  <c r="I13" i="13"/>
  <c r="J13" i="13"/>
  <c r="G13" i="13"/>
  <c r="H13" i="13"/>
  <c r="F12" i="7"/>
  <c r="C13" i="7"/>
  <c r="J14" i="4"/>
  <c r="H14" i="4"/>
  <c r="G14" i="4"/>
  <c r="I14" i="4"/>
  <c r="J26" i="4"/>
  <c r="G26" i="4"/>
  <c r="I26" i="4"/>
  <c r="H26" i="4"/>
  <c r="F13" i="46"/>
  <c r="C14" i="46"/>
  <c r="H52" i="37"/>
  <c r="J52" i="37"/>
  <c r="I52" i="37"/>
  <c r="F28" i="39"/>
  <c r="C14" i="18"/>
  <c r="F14" i="18" s="1"/>
  <c r="C14" i="21"/>
  <c r="F14" i="21" s="1"/>
  <c r="C14" i="15"/>
  <c r="F14" i="15" s="1"/>
  <c r="C14" i="33"/>
  <c r="F14" i="33" s="1"/>
  <c r="C14" i="11"/>
  <c r="F14" i="11" s="1"/>
  <c r="C15" i="20"/>
  <c r="F15" i="20" s="1"/>
  <c r="C16" i="5"/>
  <c r="F16" i="5" s="1"/>
  <c r="C14" i="10"/>
  <c r="F14" i="10" s="1"/>
  <c r="C14" i="24"/>
  <c r="F14" i="24" s="1"/>
  <c r="C14" i="26"/>
  <c r="F14" i="26" s="1"/>
  <c r="C14" i="19"/>
  <c r="F14" i="19" s="1"/>
  <c r="C14" i="27"/>
  <c r="F14" i="27" s="1"/>
  <c r="C14" i="8"/>
  <c r="F14" i="8" s="1"/>
  <c r="C14" i="29"/>
  <c r="F14" i="29" s="1"/>
  <c r="F27" i="4"/>
  <c r="C15" i="6"/>
  <c r="F15" i="6" s="1"/>
  <c r="C14" i="31"/>
  <c r="F14" i="31" s="1"/>
  <c r="C15" i="17"/>
  <c r="F15" i="17" s="1"/>
  <c r="C14" i="14"/>
  <c r="F14" i="14" s="1"/>
  <c r="C14" i="13"/>
  <c r="F14" i="13" s="1"/>
  <c r="K415" i="47" l="1"/>
  <c r="L415" i="47"/>
  <c r="K286" i="47"/>
  <c r="L286" i="47"/>
  <c r="K376" i="47"/>
  <c r="L376" i="47"/>
  <c r="L476" i="47"/>
  <c r="K476" i="47"/>
  <c r="L198" i="47"/>
  <c r="K198" i="47"/>
  <c r="K503" i="47"/>
  <c r="L503" i="47"/>
  <c r="K311" i="47"/>
  <c r="L311" i="47"/>
  <c r="L239" i="47"/>
  <c r="K239" i="47"/>
  <c r="K180" i="47"/>
  <c r="L180" i="47"/>
  <c r="L610" i="47"/>
  <c r="K610" i="47"/>
  <c r="L641" i="47"/>
  <c r="K641" i="47"/>
  <c r="L69" i="47"/>
  <c r="K69" i="47"/>
  <c r="K262" i="47"/>
  <c r="L262" i="47"/>
  <c r="L356" i="47"/>
  <c r="K356" i="47"/>
  <c r="K402" i="47"/>
  <c r="L402" i="47"/>
  <c r="K226" i="47"/>
  <c r="L226" i="47"/>
  <c r="L211" i="47"/>
  <c r="K211" i="47"/>
  <c r="L337" i="47"/>
  <c r="K337" i="47"/>
  <c r="L527" i="47"/>
  <c r="K527" i="47"/>
  <c r="L103" i="47"/>
  <c r="K103" i="47"/>
  <c r="L441" i="47"/>
  <c r="K441" i="47"/>
  <c r="G12" i="7"/>
  <c r="H12" i="7"/>
  <c r="I12" i="7"/>
  <c r="J12" i="7"/>
  <c r="G13" i="46"/>
  <c r="J13" i="46"/>
  <c r="I13" i="46"/>
  <c r="H13" i="46"/>
  <c r="H14" i="18"/>
  <c r="G14" i="18"/>
  <c r="J14" i="18"/>
  <c r="I14" i="18"/>
  <c r="G14" i="21"/>
  <c r="H14" i="21"/>
  <c r="I14" i="21"/>
  <c r="J14" i="21"/>
  <c r="I14" i="15"/>
  <c r="J14" i="15"/>
  <c r="G14" i="15"/>
  <c r="H14" i="15"/>
  <c r="I14" i="33"/>
  <c r="H14" i="33"/>
  <c r="J14" i="33"/>
  <c r="G14" i="33"/>
  <c r="J14" i="11"/>
  <c r="H14" i="11"/>
  <c r="I14" i="11"/>
  <c r="G14" i="11"/>
  <c r="G15" i="20"/>
  <c r="H15" i="20"/>
  <c r="I15" i="20"/>
  <c r="J15" i="20"/>
  <c r="G16" i="5"/>
  <c r="H16" i="5"/>
  <c r="I16" i="5"/>
  <c r="J16" i="5"/>
  <c r="J14" i="10"/>
  <c r="I14" i="10"/>
  <c r="H14" i="10"/>
  <c r="G14" i="10"/>
  <c r="H14" i="24"/>
  <c r="J14" i="24"/>
  <c r="I14" i="24"/>
  <c r="G14" i="24"/>
  <c r="G14" i="26"/>
  <c r="I14" i="26"/>
  <c r="J14" i="26"/>
  <c r="H14" i="26"/>
  <c r="J14" i="19"/>
  <c r="G14" i="19"/>
  <c r="H14" i="19"/>
  <c r="I14" i="19"/>
  <c r="G14" i="27"/>
  <c r="H14" i="27"/>
  <c r="I14" i="27"/>
  <c r="J14" i="27"/>
  <c r="G14" i="8"/>
  <c r="J14" i="8"/>
  <c r="I14" i="8"/>
  <c r="H14" i="8"/>
  <c r="J14" i="29"/>
  <c r="I14" i="29"/>
  <c r="H14" i="29"/>
  <c r="G14" i="29"/>
  <c r="G27" i="4"/>
  <c r="H27" i="4"/>
  <c r="I27" i="4"/>
  <c r="J27" i="4"/>
  <c r="G15" i="6"/>
  <c r="I15" i="6"/>
  <c r="J15" i="6"/>
  <c r="H15" i="6"/>
  <c r="J14" i="31"/>
  <c r="I14" i="31"/>
  <c r="H14" i="31"/>
  <c r="G14" i="31"/>
  <c r="G15" i="17"/>
  <c r="H15" i="17"/>
  <c r="I15" i="17"/>
  <c r="J15" i="17"/>
  <c r="H14" i="14"/>
  <c r="J14" i="14"/>
  <c r="I14" i="14"/>
  <c r="G14" i="14"/>
  <c r="H14" i="13"/>
  <c r="J14" i="13"/>
  <c r="I14" i="13"/>
  <c r="G14" i="13"/>
  <c r="F13" i="7"/>
  <c r="C14" i="7"/>
  <c r="H15" i="4"/>
  <c r="I15" i="4"/>
  <c r="G15" i="4"/>
  <c r="F14" i="46"/>
  <c r="C15" i="46"/>
  <c r="K52" i="37"/>
  <c r="M52" i="37"/>
  <c r="L52" i="37"/>
  <c r="J28" i="39"/>
  <c r="I28" i="39"/>
  <c r="H28" i="39"/>
  <c r="L28" i="39" s="1"/>
  <c r="C15" i="21"/>
  <c r="C15" i="18"/>
  <c r="F15" i="18" s="1"/>
  <c r="C15" i="15"/>
  <c r="F15" i="15" s="1"/>
  <c r="C15" i="33"/>
  <c r="F15" i="33" s="1"/>
  <c r="C15" i="11"/>
  <c r="F15" i="11" s="1"/>
  <c r="K199" i="47" s="1"/>
  <c r="F16" i="4"/>
  <c r="C16" i="20"/>
  <c r="F16" i="20" s="1"/>
  <c r="C17" i="5"/>
  <c r="F17" i="5" s="1"/>
  <c r="C15" i="10"/>
  <c r="F15" i="10" s="1"/>
  <c r="C15" i="24"/>
  <c r="F15" i="24" s="1"/>
  <c r="C15" i="26"/>
  <c r="F15" i="26" s="1"/>
  <c r="C15" i="19"/>
  <c r="F15" i="19" s="1"/>
  <c r="C15" i="27"/>
  <c r="F15" i="27" s="1"/>
  <c r="C15" i="8"/>
  <c r="F15" i="8" s="1"/>
  <c r="C15" i="29"/>
  <c r="F15" i="29" s="1"/>
  <c r="C16" i="6"/>
  <c r="F16" i="6" s="1"/>
  <c r="C15" i="31"/>
  <c r="F15" i="31" s="1"/>
  <c r="C16" i="17"/>
  <c r="F16" i="17" s="1"/>
  <c r="C15" i="14"/>
  <c r="F15" i="14" s="1"/>
  <c r="C15" i="13"/>
  <c r="F15" i="13" s="1"/>
  <c r="K416" i="47" l="1"/>
  <c r="L416" i="47"/>
  <c r="L377" i="47"/>
  <c r="K377" i="47"/>
  <c r="L477" i="47"/>
  <c r="K477" i="47"/>
  <c r="K504" i="47"/>
  <c r="L504" i="47"/>
  <c r="K312" i="47"/>
  <c r="L312" i="47"/>
  <c r="K240" i="47"/>
  <c r="L240" i="47"/>
  <c r="L181" i="47"/>
  <c r="K181" i="47"/>
  <c r="L611" i="47"/>
  <c r="K611" i="47"/>
  <c r="K642" i="47"/>
  <c r="L642" i="47"/>
  <c r="L70" i="47"/>
  <c r="K70" i="47"/>
  <c r="K263" i="47"/>
  <c r="L263" i="47"/>
  <c r="K357" i="47"/>
  <c r="L357" i="47"/>
  <c r="L403" i="47"/>
  <c r="K403" i="47"/>
  <c r="L227" i="47"/>
  <c r="K227" i="47"/>
  <c r="L212" i="47"/>
  <c r="K212" i="47"/>
  <c r="L338" i="47"/>
  <c r="K338" i="47"/>
  <c r="L528" i="47"/>
  <c r="K528" i="47"/>
  <c r="L104" i="47"/>
  <c r="K104" i="47"/>
  <c r="L442" i="47"/>
  <c r="K442" i="47"/>
  <c r="I13" i="7"/>
  <c r="J13" i="7"/>
  <c r="G13" i="7"/>
  <c r="H13" i="7"/>
  <c r="H14" i="46"/>
  <c r="J14" i="46"/>
  <c r="I14" i="46"/>
  <c r="G14" i="46"/>
  <c r="J15" i="18"/>
  <c r="I15" i="18"/>
  <c r="H15" i="18"/>
  <c r="G15" i="18"/>
  <c r="H15" i="15"/>
  <c r="J15" i="15"/>
  <c r="I15" i="15"/>
  <c r="G15" i="15"/>
  <c r="H15" i="33"/>
  <c r="J15" i="33"/>
  <c r="I15" i="33"/>
  <c r="G15" i="33"/>
  <c r="G15" i="11"/>
  <c r="L199" i="47" s="1"/>
  <c r="J15" i="11"/>
  <c r="H15" i="11"/>
  <c r="I15" i="11"/>
  <c r="G16" i="20"/>
  <c r="H16" i="20"/>
  <c r="I16" i="20"/>
  <c r="J16" i="20"/>
  <c r="J17" i="5"/>
  <c r="H17" i="5"/>
  <c r="I17" i="5"/>
  <c r="G17" i="5"/>
  <c r="J15" i="10"/>
  <c r="I15" i="10"/>
  <c r="H15" i="10"/>
  <c r="G15" i="10"/>
  <c r="I15" i="24"/>
  <c r="J15" i="24"/>
  <c r="G15" i="24"/>
  <c r="H15" i="24"/>
  <c r="J15" i="26"/>
  <c r="G15" i="26"/>
  <c r="H15" i="26"/>
  <c r="I15" i="26"/>
  <c r="I15" i="19"/>
  <c r="H15" i="19"/>
  <c r="G15" i="19"/>
  <c r="J15" i="19"/>
  <c r="G15" i="27"/>
  <c r="J15" i="27"/>
  <c r="I15" i="27"/>
  <c r="H15" i="27"/>
  <c r="J15" i="8"/>
  <c r="I15" i="8"/>
  <c r="H15" i="8"/>
  <c r="G15" i="8"/>
  <c r="I15" i="29"/>
  <c r="H15" i="29"/>
  <c r="G15" i="29"/>
  <c r="J15" i="29"/>
  <c r="G16" i="6"/>
  <c r="H16" i="6"/>
  <c r="I16" i="6"/>
  <c r="J16" i="6"/>
  <c r="G15" i="31"/>
  <c r="J15" i="31"/>
  <c r="I15" i="31"/>
  <c r="H15" i="31"/>
  <c r="H16" i="17"/>
  <c r="I16" i="17"/>
  <c r="J16" i="17"/>
  <c r="G16" i="17"/>
  <c r="I15" i="14"/>
  <c r="G15" i="14"/>
  <c r="H15" i="14"/>
  <c r="J15" i="14"/>
  <c r="I15" i="13"/>
  <c r="J15" i="13"/>
  <c r="G15" i="13"/>
  <c r="H15" i="13"/>
  <c r="F14" i="7"/>
  <c r="C15" i="7"/>
  <c r="F15" i="7" s="1"/>
  <c r="J16" i="4"/>
  <c r="H16" i="4"/>
  <c r="I16" i="4"/>
  <c r="G16" i="4"/>
  <c r="F15" i="46"/>
  <c r="C16" i="46"/>
  <c r="K28" i="39"/>
  <c r="N52" i="37"/>
  <c r="P52" i="37" s="1"/>
  <c r="O52" i="37"/>
  <c r="C16" i="21"/>
  <c r="F15" i="21"/>
  <c r="C16" i="18"/>
  <c r="F16" i="18" s="1"/>
  <c r="C16" i="15"/>
  <c r="F16" i="15" s="1"/>
  <c r="C16" i="33"/>
  <c r="F16" i="33" s="1"/>
  <c r="C16" i="7"/>
  <c r="F16" i="7" s="1"/>
  <c r="C16" i="11"/>
  <c r="F17" i="4"/>
  <c r="C17" i="20"/>
  <c r="F17" i="20" s="1"/>
  <c r="C18" i="5"/>
  <c r="F18" i="5" s="1"/>
  <c r="C16" i="10"/>
  <c r="F16" i="10" s="1"/>
  <c r="C16" i="24"/>
  <c r="F16" i="24" s="1"/>
  <c r="C16" i="26"/>
  <c r="F16" i="26" s="1"/>
  <c r="C16" i="19"/>
  <c r="F16" i="19" s="1"/>
  <c r="C16" i="27"/>
  <c r="F16" i="27" s="1"/>
  <c r="C16" i="8"/>
  <c r="F16" i="8" s="1"/>
  <c r="C16" i="29"/>
  <c r="F16" i="29" s="1"/>
  <c r="C16" i="13"/>
  <c r="F16" i="13" s="1"/>
  <c r="C17" i="6"/>
  <c r="F17" i="6" s="1"/>
  <c r="C16" i="31"/>
  <c r="F16" i="31" s="1"/>
  <c r="C17" i="17"/>
  <c r="F17" i="17" s="1"/>
  <c r="C16" i="14"/>
  <c r="G30" i="37"/>
  <c r="K417" i="47" l="1"/>
  <c r="L417" i="47"/>
  <c r="K418" i="47"/>
  <c r="L418" i="47"/>
  <c r="K287" i="47"/>
  <c r="L287" i="47"/>
  <c r="L378" i="47"/>
  <c r="K378" i="47"/>
  <c r="L478" i="47"/>
  <c r="K478" i="47"/>
  <c r="K419" i="47"/>
  <c r="L419" i="47"/>
  <c r="L505" i="47"/>
  <c r="K505" i="47"/>
  <c r="L313" i="47"/>
  <c r="K313" i="47"/>
  <c r="K241" i="47"/>
  <c r="L241" i="47"/>
  <c r="K182" i="47"/>
  <c r="L182" i="47"/>
  <c r="L612" i="47"/>
  <c r="K612" i="47"/>
  <c r="K643" i="47"/>
  <c r="L643" i="47"/>
  <c r="L71" i="47"/>
  <c r="K71" i="47"/>
  <c r="K264" i="47"/>
  <c r="L264" i="47"/>
  <c r="L358" i="47"/>
  <c r="K358" i="47"/>
  <c r="K213" i="47"/>
  <c r="L213" i="47"/>
  <c r="L404" i="47"/>
  <c r="K404" i="47"/>
  <c r="L339" i="47"/>
  <c r="K339" i="47"/>
  <c r="L529" i="47"/>
  <c r="K529" i="47"/>
  <c r="L105" i="47"/>
  <c r="K105" i="47"/>
  <c r="L443" i="47"/>
  <c r="K443" i="47"/>
  <c r="G14" i="7"/>
  <c r="I14" i="7"/>
  <c r="J14" i="7"/>
  <c r="H14" i="7"/>
  <c r="G15" i="7"/>
  <c r="H15" i="7"/>
  <c r="I15" i="7"/>
  <c r="J15" i="7"/>
  <c r="H15" i="46"/>
  <c r="J15" i="46"/>
  <c r="I15" i="46"/>
  <c r="G15" i="46"/>
  <c r="J15" i="21"/>
  <c r="I15" i="21"/>
  <c r="H15" i="21"/>
  <c r="G15" i="21"/>
  <c r="I16" i="18"/>
  <c r="G16" i="18"/>
  <c r="H16" i="18"/>
  <c r="J16" i="18"/>
  <c r="H16" i="15"/>
  <c r="J16" i="15"/>
  <c r="I16" i="15"/>
  <c r="G16" i="15"/>
  <c r="J16" i="33"/>
  <c r="G16" i="33"/>
  <c r="I16" i="33"/>
  <c r="H16" i="33"/>
  <c r="G16" i="7"/>
  <c r="H16" i="7"/>
  <c r="J16" i="7"/>
  <c r="I16" i="7"/>
  <c r="J17" i="20"/>
  <c r="G17" i="20"/>
  <c r="H17" i="20"/>
  <c r="I17" i="20"/>
  <c r="J18" i="5"/>
  <c r="H18" i="5"/>
  <c r="G18" i="5"/>
  <c r="I18" i="5"/>
  <c r="J16" i="10"/>
  <c r="I16" i="10"/>
  <c r="H16" i="10"/>
  <c r="G16" i="10"/>
  <c r="G16" i="24"/>
  <c r="H16" i="24"/>
  <c r="J16" i="24"/>
  <c r="I16" i="24"/>
  <c r="H16" i="26"/>
  <c r="G16" i="26"/>
  <c r="I16" i="26"/>
  <c r="J16" i="26"/>
  <c r="H16" i="19"/>
  <c r="G16" i="19"/>
  <c r="J16" i="19"/>
  <c r="I16" i="19"/>
  <c r="I16" i="27"/>
  <c r="H16" i="27"/>
  <c r="G16" i="27"/>
  <c r="J16" i="27"/>
  <c r="J16" i="8"/>
  <c r="I16" i="8"/>
  <c r="H16" i="8"/>
  <c r="G16" i="8"/>
  <c r="J16" i="29"/>
  <c r="I16" i="29"/>
  <c r="H16" i="29"/>
  <c r="G16" i="29"/>
  <c r="G16" i="13"/>
  <c r="I16" i="13"/>
  <c r="J16" i="13"/>
  <c r="H16" i="13"/>
  <c r="G17" i="6"/>
  <c r="I17" i="6"/>
  <c r="J17" i="6"/>
  <c r="H17" i="6"/>
  <c r="J16" i="31"/>
  <c r="I16" i="31"/>
  <c r="H16" i="31"/>
  <c r="G16" i="31"/>
  <c r="J17" i="17"/>
  <c r="G17" i="17"/>
  <c r="H17" i="17"/>
  <c r="I17" i="17"/>
  <c r="J17" i="4"/>
  <c r="H17" i="4"/>
  <c r="I17" i="4"/>
  <c r="G17" i="4"/>
  <c r="F16" i="11"/>
  <c r="E4" i="39"/>
  <c r="F16" i="14"/>
  <c r="E6" i="39"/>
  <c r="F16" i="46"/>
  <c r="C17" i="46"/>
  <c r="F16" i="21"/>
  <c r="C17" i="21"/>
  <c r="F29" i="4"/>
  <c r="C17" i="18"/>
  <c r="F17" i="18" s="1"/>
  <c r="C17" i="15"/>
  <c r="F17" i="15" s="1"/>
  <c r="C17" i="33"/>
  <c r="F17" i="33" s="1"/>
  <c r="C17" i="7"/>
  <c r="F17" i="7" s="1"/>
  <c r="D4" i="39"/>
  <c r="G28" i="37"/>
  <c r="F18" i="4"/>
  <c r="C18" i="20"/>
  <c r="F18" i="20" s="1"/>
  <c r="C19" i="5"/>
  <c r="F19" i="5" s="1"/>
  <c r="C17" i="10"/>
  <c r="F17" i="10" s="1"/>
  <c r="C17" i="24"/>
  <c r="F17" i="24" s="1"/>
  <c r="C17" i="26"/>
  <c r="F17" i="26" s="1"/>
  <c r="C17" i="19"/>
  <c r="F17" i="19" s="1"/>
  <c r="C17" i="27"/>
  <c r="F17" i="27" s="1"/>
  <c r="C17" i="8"/>
  <c r="F17" i="8" s="1"/>
  <c r="C17" i="29"/>
  <c r="F17" i="29" s="1"/>
  <c r="C17" i="13"/>
  <c r="F17" i="13" s="1"/>
  <c r="D6" i="39"/>
  <c r="C18" i="6"/>
  <c r="F18" i="6" s="1"/>
  <c r="C17" i="31"/>
  <c r="F17" i="31" s="1"/>
  <c r="C18" i="17"/>
  <c r="F18" i="17" s="1"/>
  <c r="L200" i="47" l="1"/>
  <c r="K200" i="47"/>
  <c r="K228" i="47"/>
  <c r="L228" i="47"/>
  <c r="K288" i="47"/>
  <c r="L288" i="47"/>
  <c r="K379" i="47"/>
  <c r="L379" i="47"/>
  <c r="L479" i="47"/>
  <c r="K479" i="47"/>
  <c r="L420" i="47"/>
  <c r="K420" i="47"/>
  <c r="K506" i="47"/>
  <c r="L506" i="47"/>
  <c r="K314" i="47"/>
  <c r="L314" i="47"/>
  <c r="K242" i="47"/>
  <c r="L242" i="47"/>
  <c r="K183" i="47"/>
  <c r="L183" i="47"/>
  <c r="K613" i="47"/>
  <c r="L613" i="47"/>
  <c r="L644" i="47"/>
  <c r="K644" i="47"/>
  <c r="L72" i="47"/>
  <c r="K72" i="47"/>
  <c r="K265" i="47"/>
  <c r="L265" i="47"/>
  <c r="K359" i="47"/>
  <c r="L359" i="47"/>
  <c r="L214" i="47"/>
  <c r="K214" i="47"/>
  <c r="L405" i="47"/>
  <c r="K405" i="47"/>
  <c r="L340" i="47"/>
  <c r="K340" i="47"/>
  <c r="L530" i="47"/>
  <c r="K530" i="47"/>
  <c r="L106" i="47"/>
  <c r="K106" i="47"/>
  <c r="L444" i="47"/>
  <c r="K444" i="47"/>
  <c r="F4" i="39"/>
  <c r="I4" i="39" s="1"/>
  <c r="J16" i="11"/>
  <c r="I16" i="11"/>
  <c r="H16" i="11"/>
  <c r="G16" i="11"/>
  <c r="K2" i="11"/>
  <c r="G6" i="39"/>
  <c r="H16" i="14"/>
  <c r="J16" i="14"/>
  <c r="I16" i="14"/>
  <c r="G16" i="14"/>
  <c r="K2" i="14"/>
  <c r="G16" i="46"/>
  <c r="J16" i="46"/>
  <c r="I16" i="46"/>
  <c r="H16" i="46"/>
  <c r="G16" i="21"/>
  <c r="H16" i="21"/>
  <c r="I16" i="21"/>
  <c r="J16" i="21"/>
  <c r="I29" i="4"/>
  <c r="H29" i="4"/>
  <c r="G29" i="4"/>
  <c r="J29" i="4"/>
  <c r="K2" i="4"/>
  <c r="G17" i="18"/>
  <c r="H17" i="18"/>
  <c r="I17" i="18"/>
  <c r="J17" i="18"/>
  <c r="H17" i="15"/>
  <c r="I17" i="15"/>
  <c r="J17" i="15"/>
  <c r="G17" i="15"/>
  <c r="H17" i="33"/>
  <c r="J17" i="33"/>
  <c r="I17" i="33"/>
  <c r="G17" i="33"/>
  <c r="I17" i="7"/>
  <c r="H17" i="7"/>
  <c r="G17" i="7"/>
  <c r="J17" i="7"/>
  <c r="J18" i="20"/>
  <c r="I18" i="20"/>
  <c r="H18" i="20"/>
  <c r="G18" i="20"/>
  <c r="I19" i="5"/>
  <c r="G19" i="5"/>
  <c r="H19" i="5"/>
  <c r="J19" i="5"/>
  <c r="H17" i="10"/>
  <c r="I17" i="10"/>
  <c r="J17" i="10"/>
  <c r="G17" i="10"/>
  <c r="G17" i="24"/>
  <c r="I17" i="24"/>
  <c r="J17" i="24"/>
  <c r="H17" i="24"/>
  <c r="J17" i="26"/>
  <c r="I17" i="26"/>
  <c r="H17" i="26"/>
  <c r="G17" i="26"/>
  <c r="I17" i="19"/>
  <c r="H17" i="19"/>
  <c r="G17" i="19"/>
  <c r="J17" i="19"/>
  <c r="H17" i="27"/>
  <c r="J17" i="27"/>
  <c r="G17" i="27"/>
  <c r="I17" i="27"/>
  <c r="J17" i="8"/>
  <c r="I17" i="8"/>
  <c r="H17" i="8"/>
  <c r="G17" i="8"/>
  <c r="I17" i="29"/>
  <c r="G17" i="29"/>
  <c r="H17" i="29"/>
  <c r="J17" i="29"/>
  <c r="J17" i="13"/>
  <c r="G17" i="13"/>
  <c r="I17" i="13"/>
  <c r="H17" i="13"/>
  <c r="G18" i="6"/>
  <c r="J18" i="6"/>
  <c r="I18" i="6"/>
  <c r="H18" i="6"/>
  <c r="J17" i="31"/>
  <c r="I17" i="31"/>
  <c r="H17" i="31"/>
  <c r="G17" i="31"/>
  <c r="H18" i="17"/>
  <c r="I18" i="17"/>
  <c r="J18" i="17"/>
  <c r="G18" i="17"/>
  <c r="I18" i="4"/>
  <c r="G18" i="4"/>
  <c r="J18" i="4"/>
  <c r="H18" i="4"/>
  <c r="F17" i="46"/>
  <c r="C18" i="46"/>
  <c r="F17" i="21"/>
  <c r="C18" i="21"/>
  <c r="H30" i="37"/>
  <c r="F6" i="39"/>
  <c r="I30" i="37"/>
  <c r="J30" i="37"/>
  <c r="H28" i="37"/>
  <c r="I28" i="37"/>
  <c r="J28" i="37"/>
  <c r="G4" i="39"/>
  <c r="C18" i="18"/>
  <c r="F18" i="18" s="1"/>
  <c r="C18" i="15"/>
  <c r="F18" i="15" s="1"/>
  <c r="C18" i="33"/>
  <c r="F18" i="33" s="1"/>
  <c r="C18" i="7"/>
  <c r="F18" i="7" s="1"/>
  <c r="C19" i="20"/>
  <c r="F19" i="20" s="1"/>
  <c r="C20" i="5"/>
  <c r="F20" i="5" s="1"/>
  <c r="C18" i="10"/>
  <c r="F18" i="10" s="1"/>
  <c r="C18" i="24"/>
  <c r="F18" i="24" s="1"/>
  <c r="C18" i="26"/>
  <c r="F18" i="26" s="1"/>
  <c r="C18" i="19"/>
  <c r="F18" i="19" s="1"/>
  <c r="C18" i="27"/>
  <c r="F18" i="27" s="1"/>
  <c r="C18" i="8"/>
  <c r="F18" i="8" s="1"/>
  <c r="C18" i="29"/>
  <c r="F18" i="29" s="1"/>
  <c r="C18" i="13"/>
  <c r="C19" i="6"/>
  <c r="C18" i="31"/>
  <c r="F18" i="31" s="1"/>
  <c r="C19" i="17"/>
  <c r="F19" i="17" s="1"/>
  <c r="L289" i="47" l="1"/>
  <c r="K289" i="47"/>
  <c r="L380" i="47"/>
  <c r="K380" i="47"/>
  <c r="L480" i="47"/>
  <c r="K480" i="47"/>
  <c r="L421" i="47"/>
  <c r="K421" i="47"/>
  <c r="L507" i="47"/>
  <c r="K507" i="47"/>
  <c r="K315" i="47"/>
  <c r="L315" i="47"/>
  <c r="L243" i="47"/>
  <c r="K243" i="47"/>
  <c r="L184" i="47"/>
  <c r="K184" i="47"/>
  <c r="L614" i="47"/>
  <c r="K614" i="47"/>
  <c r="L645" i="47"/>
  <c r="K645" i="47"/>
  <c r="K73" i="47"/>
  <c r="L73" i="47"/>
  <c r="K266" i="47"/>
  <c r="L266" i="47"/>
  <c r="K360" i="47"/>
  <c r="L360" i="47"/>
  <c r="L341" i="47"/>
  <c r="K341" i="47"/>
  <c r="L531" i="47"/>
  <c r="K531" i="47"/>
  <c r="L107" i="47"/>
  <c r="K107" i="47"/>
  <c r="L445" i="47"/>
  <c r="K445" i="47"/>
  <c r="J17" i="46"/>
  <c r="I17" i="46"/>
  <c r="H17" i="46"/>
  <c r="G17" i="46"/>
  <c r="I17" i="21"/>
  <c r="J17" i="21"/>
  <c r="G17" i="21"/>
  <c r="H17" i="21"/>
  <c r="G18" i="18"/>
  <c r="I18" i="18"/>
  <c r="H18" i="18"/>
  <c r="J18" i="18"/>
  <c r="H18" i="15"/>
  <c r="J18" i="15"/>
  <c r="G18" i="15"/>
  <c r="I18" i="15"/>
  <c r="J18" i="33"/>
  <c r="I18" i="33"/>
  <c r="H18" i="33"/>
  <c r="G18" i="33"/>
  <c r="G18" i="7"/>
  <c r="H18" i="7"/>
  <c r="J18" i="7"/>
  <c r="I18" i="7"/>
  <c r="J19" i="20"/>
  <c r="I19" i="20"/>
  <c r="H19" i="20"/>
  <c r="G19" i="20"/>
  <c r="J20" i="5"/>
  <c r="G20" i="5"/>
  <c r="H20" i="5"/>
  <c r="I20" i="5"/>
  <c r="H18" i="10"/>
  <c r="I18" i="10"/>
  <c r="J18" i="10"/>
  <c r="G18" i="10"/>
  <c r="G18" i="24"/>
  <c r="I18" i="24"/>
  <c r="J18" i="24"/>
  <c r="H18" i="24"/>
  <c r="I18" i="26"/>
  <c r="G18" i="26"/>
  <c r="H18" i="26"/>
  <c r="J18" i="26"/>
  <c r="J18" i="19"/>
  <c r="G18" i="19"/>
  <c r="H18" i="19"/>
  <c r="I18" i="19"/>
  <c r="I18" i="27"/>
  <c r="J18" i="27"/>
  <c r="H18" i="27"/>
  <c r="G18" i="27"/>
  <c r="J18" i="8"/>
  <c r="I18" i="8"/>
  <c r="H18" i="8"/>
  <c r="G18" i="8"/>
  <c r="G18" i="29"/>
  <c r="H18" i="29"/>
  <c r="I18" i="29"/>
  <c r="J18" i="29"/>
  <c r="J18" i="31"/>
  <c r="I18" i="31"/>
  <c r="H18" i="31"/>
  <c r="G18" i="31"/>
  <c r="H19" i="17"/>
  <c r="I19" i="17"/>
  <c r="J19" i="17"/>
  <c r="G19" i="17"/>
  <c r="F18" i="13"/>
  <c r="E10" i="39"/>
  <c r="F19" i="6"/>
  <c r="E21" i="39"/>
  <c r="F18" i="46"/>
  <c r="C19" i="46"/>
  <c r="F18" i="21"/>
  <c r="C19" i="21"/>
  <c r="C19" i="15"/>
  <c r="L30" i="37"/>
  <c r="M30" i="37"/>
  <c r="K30" i="37"/>
  <c r="H6" i="39"/>
  <c r="I6" i="39"/>
  <c r="J6" i="39"/>
  <c r="K28" i="37"/>
  <c r="M28" i="37"/>
  <c r="L28" i="37"/>
  <c r="H4" i="39"/>
  <c r="J4" i="39"/>
  <c r="C19" i="18"/>
  <c r="F19" i="18" s="1"/>
  <c r="C19" i="33"/>
  <c r="F19" i="33" s="1"/>
  <c r="C19" i="7"/>
  <c r="F19" i="7" s="1"/>
  <c r="C20" i="20"/>
  <c r="F10" i="39"/>
  <c r="G34" i="37"/>
  <c r="D10" i="39"/>
  <c r="G10" i="39"/>
  <c r="J34" i="37"/>
  <c r="I34" i="37"/>
  <c r="C21" i="5"/>
  <c r="F21" i="5" s="1"/>
  <c r="C19" i="10"/>
  <c r="F19" i="10" s="1"/>
  <c r="C19" i="24"/>
  <c r="F19" i="24" s="1"/>
  <c r="C19" i="26"/>
  <c r="F19" i="26" s="1"/>
  <c r="C19" i="19"/>
  <c r="F19" i="19" s="1"/>
  <c r="C19" i="27"/>
  <c r="F19" i="27" s="1"/>
  <c r="C19" i="8"/>
  <c r="F19" i="8" s="1"/>
  <c r="C19" i="29"/>
  <c r="F19" i="29" s="1"/>
  <c r="G45" i="37"/>
  <c r="D21" i="39"/>
  <c r="C19" i="31"/>
  <c r="F19" i="31" s="1"/>
  <c r="F24" i="39"/>
  <c r="G24" i="39"/>
  <c r="D24" i="39"/>
  <c r="I48" i="37"/>
  <c r="G48" i="37"/>
  <c r="C20" i="17"/>
  <c r="F20" i="17" s="1"/>
  <c r="K215" i="47" l="1"/>
  <c r="L215" i="47"/>
  <c r="K406" i="47"/>
  <c r="L406" i="47"/>
  <c r="K290" i="47"/>
  <c r="L290" i="47"/>
  <c r="L481" i="47"/>
  <c r="K481" i="47"/>
  <c r="L422" i="47"/>
  <c r="K422" i="47"/>
  <c r="L316" i="47"/>
  <c r="K316" i="47"/>
  <c r="L244" i="47"/>
  <c r="K244" i="47"/>
  <c r="L185" i="47"/>
  <c r="K185" i="47"/>
  <c r="L615" i="47"/>
  <c r="K615" i="47"/>
  <c r="K646" i="47"/>
  <c r="L646" i="47"/>
  <c r="L74" i="47"/>
  <c r="K74" i="47"/>
  <c r="L267" i="47"/>
  <c r="K267" i="47"/>
  <c r="L361" i="47"/>
  <c r="K361" i="47"/>
  <c r="L342" i="47"/>
  <c r="K342" i="47"/>
  <c r="L532" i="47"/>
  <c r="K532" i="47"/>
  <c r="L108" i="47"/>
  <c r="K108" i="47"/>
  <c r="L446" i="47"/>
  <c r="K446" i="47"/>
  <c r="H34" i="37"/>
  <c r="G18" i="13"/>
  <c r="I18" i="13"/>
  <c r="H18" i="13"/>
  <c r="J18" i="13"/>
  <c r="K2" i="13"/>
  <c r="J19" i="6"/>
  <c r="K2" i="6"/>
  <c r="G19" i="6"/>
  <c r="H19" i="6"/>
  <c r="I19" i="6"/>
  <c r="I18" i="46"/>
  <c r="J18" i="46"/>
  <c r="H18" i="46"/>
  <c r="G18" i="46"/>
  <c r="G18" i="21"/>
  <c r="H18" i="21"/>
  <c r="I18" i="21"/>
  <c r="J18" i="21"/>
  <c r="J19" i="18"/>
  <c r="G19" i="18"/>
  <c r="I19" i="18"/>
  <c r="H19" i="18"/>
  <c r="G19" i="33"/>
  <c r="H19" i="33"/>
  <c r="I19" i="33"/>
  <c r="J19" i="33"/>
  <c r="J19" i="7"/>
  <c r="I19" i="7"/>
  <c r="H19" i="7"/>
  <c r="G19" i="7"/>
  <c r="J21" i="5"/>
  <c r="I21" i="5"/>
  <c r="H21" i="5"/>
  <c r="G21" i="5"/>
  <c r="I19" i="10"/>
  <c r="H19" i="10"/>
  <c r="G19" i="10"/>
  <c r="J19" i="10"/>
  <c r="J19" i="24"/>
  <c r="I19" i="24"/>
  <c r="H19" i="24"/>
  <c r="G19" i="24"/>
  <c r="G19" i="26"/>
  <c r="J19" i="26"/>
  <c r="I19" i="26"/>
  <c r="H19" i="26"/>
  <c r="H19" i="19"/>
  <c r="I19" i="19"/>
  <c r="J19" i="19"/>
  <c r="G19" i="19"/>
  <c r="J19" i="27"/>
  <c r="I19" i="27"/>
  <c r="H19" i="27"/>
  <c r="G19" i="27"/>
  <c r="J19" i="8"/>
  <c r="I19" i="8"/>
  <c r="G19" i="8"/>
  <c r="H19" i="8"/>
  <c r="G19" i="29"/>
  <c r="H19" i="29"/>
  <c r="I19" i="29"/>
  <c r="J19" i="29"/>
  <c r="J19" i="31"/>
  <c r="I19" i="31"/>
  <c r="H19" i="31"/>
  <c r="G19" i="31"/>
  <c r="G20" i="17"/>
  <c r="H20" i="17"/>
  <c r="I20" i="17"/>
  <c r="J20" i="17"/>
  <c r="H45" i="37"/>
  <c r="G21" i="39"/>
  <c r="F21" i="39"/>
  <c r="J45" i="37"/>
  <c r="I45" i="37"/>
  <c r="L6" i="39"/>
  <c r="F20" i="20"/>
  <c r="E27" i="39"/>
  <c r="F19" i="46"/>
  <c r="C20" i="46"/>
  <c r="L4" i="39"/>
  <c r="N28" i="37"/>
  <c r="P28" i="37" s="1"/>
  <c r="F19" i="21"/>
  <c r="C20" i="21"/>
  <c r="F19" i="15"/>
  <c r="C20" i="15"/>
  <c r="E19" i="39" s="1"/>
  <c r="K6" i="39"/>
  <c r="K4" i="39"/>
  <c r="N30" i="37"/>
  <c r="P30" i="37" s="1"/>
  <c r="O30" i="37"/>
  <c r="O28" i="37"/>
  <c r="C20" i="18"/>
  <c r="F20" i="18" s="1"/>
  <c r="C20" i="33"/>
  <c r="F20" i="33" s="1"/>
  <c r="C20" i="7"/>
  <c r="F20" i="7" s="1"/>
  <c r="M34" i="37"/>
  <c r="L34" i="37"/>
  <c r="K34" i="37"/>
  <c r="H10" i="39"/>
  <c r="L10" i="39" s="1"/>
  <c r="J10" i="39"/>
  <c r="I10" i="39"/>
  <c r="G51" i="37"/>
  <c r="D27" i="39"/>
  <c r="C22" i="5"/>
  <c r="F22" i="5" s="1"/>
  <c r="C20" i="10"/>
  <c r="F20" i="10" s="1"/>
  <c r="C20" i="24"/>
  <c r="F20" i="24" s="1"/>
  <c r="C20" i="26"/>
  <c r="F20" i="26" s="1"/>
  <c r="C20" i="19"/>
  <c r="F20" i="19" s="1"/>
  <c r="C20" i="27"/>
  <c r="F20" i="27" s="1"/>
  <c r="C20" i="8"/>
  <c r="F20" i="8" s="1"/>
  <c r="C20" i="29"/>
  <c r="F20" i="29" s="1"/>
  <c r="C20" i="31"/>
  <c r="F20" i="31" s="1"/>
  <c r="H48" i="37"/>
  <c r="J48" i="37"/>
  <c r="I24" i="39"/>
  <c r="H24" i="39"/>
  <c r="L24" i="39" s="1"/>
  <c r="J24" i="39"/>
  <c r="L48" i="37"/>
  <c r="C21" i="17"/>
  <c r="F21" i="17" s="1"/>
  <c r="L508" i="47" l="1"/>
  <c r="K508" i="47"/>
  <c r="K291" i="47"/>
  <c r="L291" i="47"/>
  <c r="K381" i="47"/>
  <c r="L381" i="47"/>
  <c r="L482" i="47"/>
  <c r="K482" i="47"/>
  <c r="L423" i="47"/>
  <c r="K423" i="47"/>
  <c r="K317" i="47"/>
  <c r="L317" i="47"/>
  <c r="L245" i="47"/>
  <c r="K245" i="47"/>
  <c r="L186" i="47"/>
  <c r="K186" i="47"/>
  <c r="K616" i="47"/>
  <c r="L616" i="47"/>
  <c r="K647" i="47"/>
  <c r="L647" i="47"/>
  <c r="K75" i="47"/>
  <c r="L75" i="47"/>
  <c r="L268" i="47"/>
  <c r="K268" i="47"/>
  <c r="L362" i="47"/>
  <c r="K362" i="47"/>
  <c r="L343" i="47"/>
  <c r="K343" i="47"/>
  <c r="L533" i="47"/>
  <c r="K533" i="47"/>
  <c r="L109" i="47"/>
  <c r="K109" i="47"/>
  <c r="L447" i="47"/>
  <c r="K447" i="47"/>
  <c r="J51" i="37"/>
  <c r="G20" i="20"/>
  <c r="J20" i="20"/>
  <c r="I20" i="20"/>
  <c r="H20" i="20"/>
  <c r="K2" i="20"/>
  <c r="J19" i="46"/>
  <c r="I19" i="46"/>
  <c r="H19" i="46"/>
  <c r="G19" i="46"/>
  <c r="J19" i="21"/>
  <c r="I19" i="21"/>
  <c r="H19" i="21"/>
  <c r="G19" i="21"/>
  <c r="I19" i="15"/>
  <c r="H19" i="15"/>
  <c r="G19" i="15"/>
  <c r="J19" i="15"/>
  <c r="I20" i="18"/>
  <c r="H20" i="18"/>
  <c r="G20" i="18"/>
  <c r="J20" i="18"/>
  <c r="I20" i="33"/>
  <c r="H20" i="33"/>
  <c r="J20" i="33"/>
  <c r="G20" i="33"/>
  <c r="I20" i="7"/>
  <c r="H20" i="7"/>
  <c r="G20" i="7"/>
  <c r="J20" i="7"/>
  <c r="J22" i="5"/>
  <c r="H22" i="5"/>
  <c r="G22" i="5"/>
  <c r="I22" i="5"/>
  <c r="J20" i="10"/>
  <c r="I20" i="10"/>
  <c r="H20" i="10"/>
  <c r="G20" i="10"/>
  <c r="I20" i="24"/>
  <c r="H20" i="24"/>
  <c r="J20" i="24"/>
  <c r="G20" i="24"/>
  <c r="G20" i="26"/>
  <c r="J20" i="26"/>
  <c r="I20" i="26"/>
  <c r="H20" i="26"/>
  <c r="H20" i="19"/>
  <c r="I20" i="19"/>
  <c r="J20" i="19"/>
  <c r="G20" i="19"/>
  <c r="J20" i="27"/>
  <c r="I20" i="27"/>
  <c r="H20" i="27"/>
  <c r="G20" i="27"/>
  <c r="J20" i="8"/>
  <c r="H20" i="8"/>
  <c r="G20" i="8"/>
  <c r="I20" i="8"/>
  <c r="H20" i="29"/>
  <c r="G20" i="29"/>
  <c r="J20" i="29"/>
  <c r="I20" i="29"/>
  <c r="J20" i="31"/>
  <c r="I20" i="31"/>
  <c r="H20" i="31"/>
  <c r="G20" i="31"/>
  <c r="G21" i="17"/>
  <c r="H21" i="17"/>
  <c r="I21" i="17"/>
  <c r="J21" i="17"/>
  <c r="J21" i="39"/>
  <c r="I21" i="39"/>
  <c r="H21" i="39"/>
  <c r="M45" i="37"/>
  <c r="L45" i="37"/>
  <c r="K45" i="37"/>
  <c r="F20" i="46"/>
  <c r="C21" i="46"/>
  <c r="G43" i="37"/>
  <c r="D19" i="39"/>
  <c r="F20" i="15"/>
  <c r="F20" i="21"/>
  <c r="C21" i="21"/>
  <c r="I51" i="37"/>
  <c r="G27" i="39"/>
  <c r="N34" i="37"/>
  <c r="P34" i="37" s="1"/>
  <c r="O34" i="37"/>
  <c r="H51" i="37"/>
  <c r="F27" i="39"/>
  <c r="C21" i="18"/>
  <c r="F21" i="18" s="1"/>
  <c r="C21" i="33"/>
  <c r="F21" i="33" s="1"/>
  <c r="C21" i="7"/>
  <c r="F21" i="7" s="1"/>
  <c r="K10" i="39"/>
  <c r="C23" i="5"/>
  <c r="F23" i="5" s="1"/>
  <c r="C21" i="10"/>
  <c r="F21" i="10" s="1"/>
  <c r="C21" i="24"/>
  <c r="C21" i="26"/>
  <c r="F21" i="26" s="1"/>
  <c r="C21" i="19"/>
  <c r="F21" i="19" s="1"/>
  <c r="C21" i="27"/>
  <c r="F21" i="27" s="1"/>
  <c r="C21" i="8"/>
  <c r="F21" i="8" s="1"/>
  <c r="C21" i="29"/>
  <c r="F21" i="29" s="1"/>
  <c r="C21" i="31"/>
  <c r="F21" i="31" s="1"/>
  <c r="K48" i="37"/>
  <c r="M48" i="37"/>
  <c r="K24" i="39"/>
  <c r="C22" i="17"/>
  <c r="F22" i="17" s="1"/>
  <c r="L382" i="47" l="1"/>
  <c r="K382" i="47"/>
  <c r="K292" i="47"/>
  <c r="L292" i="47"/>
  <c r="L483" i="47"/>
  <c r="K483" i="47"/>
  <c r="K424" i="47"/>
  <c r="L424" i="47"/>
  <c r="L318" i="47"/>
  <c r="K318" i="47"/>
  <c r="L246" i="47"/>
  <c r="K246" i="47"/>
  <c r="K617" i="47"/>
  <c r="L617" i="47"/>
  <c r="L648" i="47"/>
  <c r="K648" i="47"/>
  <c r="L76" i="47"/>
  <c r="K76" i="47"/>
  <c r="L269" i="47"/>
  <c r="K269" i="47"/>
  <c r="L363" i="47"/>
  <c r="K363" i="47"/>
  <c r="L344" i="47"/>
  <c r="K344" i="47"/>
  <c r="L534" i="47"/>
  <c r="K534" i="47"/>
  <c r="L110" i="47"/>
  <c r="K110" i="47"/>
  <c r="L448" i="47"/>
  <c r="K448" i="47"/>
  <c r="G20" i="46"/>
  <c r="J20" i="46"/>
  <c r="I20" i="46"/>
  <c r="H20" i="46"/>
  <c r="H43" i="37"/>
  <c r="I20" i="15"/>
  <c r="H20" i="15"/>
  <c r="K2" i="15"/>
  <c r="J20" i="15"/>
  <c r="G20" i="15"/>
  <c r="G20" i="21"/>
  <c r="H20" i="21"/>
  <c r="I20" i="21"/>
  <c r="J20" i="21"/>
  <c r="I21" i="18"/>
  <c r="J21" i="18"/>
  <c r="G21" i="18"/>
  <c r="H21" i="18"/>
  <c r="H21" i="33"/>
  <c r="J21" i="33"/>
  <c r="I21" i="33"/>
  <c r="G21" i="33"/>
  <c r="G21" i="7"/>
  <c r="J21" i="7"/>
  <c r="I21" i="7"/>
  <c r="H21" i="7"/>
  <c r="G23" i="5"/>
  <c r="I23" i="5"/>
  <c r="J23" i="5"/>
  <c r="H23" i="5"/>
  <c r="J21" i="10"/>
  <c r="I21" i="10"/>
  <c r="H21" i="10"/>
  <c r="G21" i="10"/>
  <c r="J21" i="26"/>
  <c r="I21" i="26"/>
  <c r="G21" i="26"/>
  <c r="H21" i="26"/>
  <c r="I21" i="19"/>
  <c r="H21" i="19"/>
  <c r="G21" i="19"/>
  <c r="J21" i="19"/>
  <c r="J21" i="27"/>
  <c r="H21" i="27"/>
  <c r="G21" i="27"/>
  <c r="I21" i="27"/>
  <c r="J21" i="8"/>
  <c r="I21" i="8"/>
  <c r="G21" i="8"/>
  <c r="H21" i="8"/>
  <c r="G21" i="29"/>
  <c r="H21" i="29"/>
  <c r="I21" i="29"/>
  <c r="J21" i="29"/>
  <c r="J21" i="31"/>
  <c r="I21" i="31"/>
  <c r="H21" i="31"/>
  <c r="G21" i="31"/>
  <c r="G22" i="17"/>
  <c r="H22" i="17"/>
  <c r="I22" i="17"/>
  <c r="J22" i="17"/>
  <c r="L21" i="39"/>
  <c r="K21" i="39"/>
  <c r="N45" i="37"/>
  <c r="P45" i="37" s="1"/>
  <c r="O45" i="37"/>
  <c r="F21" i="24"/>
  <c r="E18" i="39"/>
  <c r="F21" i="46"/>
  <c r="C22" i="46"/>
  <c r="G19" i="39"/>
  <c r="J43" i="37"/>
  <c r="F19" i="39"/>
  <c r="I43" i="37"/>
  <c r="F21" i="21"/>
  <c r="C22" i="21"/>
  <c r="L51" i="37"/>
  <c r="M51" i="37"/>
  <c r="K51" i="37"/>
  <c r="J27" i="39"/>
  <c r="H27" i="39"/>
  <c r="I27" i="39"/>
  <c r="N48" i="37"/>
  <c r="P48" i="37" s="1"/>
  <c r="O48" i="37"/>
  <c r="C22" i="18"/>
  <c r="F22" i="18" s="1"/>
  <c r="C22" i="33"/>
  <c r="F22" i="33" s="1"/>
  <c r="C22" i="7"/>
  <c r="F22" i="7" s="1"/>
  <c r="G42" i="37"/>
  <c r="J42" i="37"/>
  <c r="D18" i="39"/>
  <c r="G18" i="39"/>
  <c r="F18" i="39"/>
  <c r="I42" i="37"/>
  <c r="C24" i="5"/>
  <c r="F24" i="5" s="1"/>
  <c r="C22" i="10"/>
  <c r="F22" i="10" s="1"/>
  <c r="C22" i="26"/>
  <c r="F22" i="26" s="1"/>
  <c r="C22" i="19"/>
  <c r="F22" i="19" s="1"/>
  <c r="C22" i="27"/>
  <c r="F22" i="27" s="1"/>
  <c r="C22" i="8"/>
  <c r="F22" i="8" s="1"/>
  <c r="C22" i="29"/>
  <c r="F22" i="29" s="1"/>
  <c r="C22" i="31"/>
  <c r="F22" i="31" s="1"/>
  <c r="C23" i="17"/>
  <c r="F23" i="17" s="1"/>
  <c r="L187" i="47" l="1"/>
  <c r="K187" i="47"/>
  <c r="L293" i="47"/>
  <c r="K293" i="47"/>
  <c r="L484" i="47"/>
  <c r="K484" i="47"/>
  <c r="L425" i="47"/>
  <c r="K425" i="47"/>
  <c r="L319" i="47"/>
  <c r="K319" i="47"/>
  <c r="L247" i="47"/>
  <c r="K247" i="47"/>
  <c r="L618" i="47"/>
  <c r="K618" i="47"/>
  <c r="L649" i="47"/>
  <c r="K649" i="47"/>
  <c r="L77" i="47"/>
  <c r="K77" i="47"/>
  <c r="K270" i="47"/>
  <c r="L270" i="47"/>
  <c r="K364" i="47"/>
  <c r="L364" i="47"/>
  <c r="L345" i="47"/>
  <c r="K345" i="47"/>
  <c r="L535" i="47"/>
  <c r="K535" i="47"/>
  <c r="L111" i="47"/>
  <c r="K111" i="47"/>
  <c r="L449" i="47"/>
  <c r="K449" i="47"/>
  <c r="H42" i="37"/>
  <c r="K2" i="24"/>
  <c r="H21" i="24"/>
  <c r="J21" i="24"/>
  <c r="I21" i="24"/>
  <c r="G21" i="24"/>
  <c r="H21" i="46"/>
  <c r="J21" i="46"/>
  <c r="I21" i="46"/>
  <c r="G21" i="46"/>
  <c r="G21" i="21"/>
  <c r="H21" i="21"/>
  <c r="I21" i="21"/>
  <c r="J21" i="21"/>
  <c r="K2" i="18"/>
  <c r="G22" i="18"/>
  <c r="H22" i="18"/>
  <c r="I22" i="18"/>
  <c r="J22" i="18"/>
  <c r="J22" i="33"/>
  <c r="I22" i="33"/>
  <c r="H22" i="33"/>
  <c r="G22" i="33"/>
  <c r="J22" i="7"/>
  <c r="H22" i="7"/>
  <c r="G22" i="7"/>
  <c r="I22" i="7"/>
  <c r="J24" i="5"/>
  <c r="I24" i="5"/>
  <c r="H24" i="5"/>
  <c r="G24" i="5"/>
  <c r="G22" i="10"/>
  <c r="H22" i="10"/>
  <c r="I22" i="10"/>
  <c r="J22" i="10"/>
  <c r="J22" i="26"/>
  <c r="I22" i="26"/>
  <c r="H22" i="26"/>
  <c r="G22" i="26"/>
  <c r="J22" i="19"/>
  <c r="I22" i="19"/>
  <c r="H22" i="19"/>
  <c r="G22" i="19"/>
  <c r="I22" i="27"/>
  <c r="J22" i="27"/>
  <c r="H22" i="27"/>
  <c r="G22" i="27"/>
  <c r="H22" i="8"/>
  <c r="J22" i="8"/>
  <c r="I22" i="8"/>
  <c r="G22" i="8"/>
  <c r="J22" i="29"/>
  <c r="G22" i="29"/>
  <c r="I22" i="29"/>
  <c r="H22" i="29"/>
  <c r="J22" i="31"/>
  <c r="I22" i="31"/>
  <c r="H22" i="31"/>
  <c r="G22" i="31"/>
  <c r="J23" i="17"/>
  <c r="I23" i="17"/>
  <c r="H23" i="17"/>
  <c r="G23" i="17"/>
  <c r="H33" i="37"/>
  <c r="E9" i="39"/>
  <c r="F22" i="46"/>
  <c r="C23" i="46"/>
  <c r="L27" i="39"/>
  <c r="H19" i="39"/>
  <c r="I19" i="39"/>
  <c r="J19" i="39"/>
  <c r="K43" i="37"/>
  <c r="L43" i="37"/>
  <c r="M43" i="37"/>
  <c r="F22" i="21"/>
  <c r="C23" i="21"/>
  <c r="O51" i="37"/>
  <c r="N51" i="37"/>
  <c r="P51" i="37" s="1"/>
  <c r="K27" i="39"/>
  <c r="D9" i="39"/>
  <c r="G33" i="37"/>
  <c r="C23" i="33"/>
  <c r="F23" i="33" s="1"/>
  <c r="H18" i="39"/>
  <c r="L18" i="39" s="1"/>
  <c r="C23" i="7"/>
  <c r="F23" i="7" s="1"/>
  <c r="K42" i="37"/>
  <c r="L42" i="37"/>
  <c r="M42" i="37"/>
  <c r="I18" i="39"/>
  <c r="J18" i="39"/>
  <c r="C25" i="5"/>
  <c r="F25" i="5" s="1"/>
  <c r="C23" i="10"/>
  <c r="F23" i="10" s="1"/>
  <c r="C23" i="26"/>
  <c r="F23" i="26" s="1"/>
  <c r="C23" i="19"/>
  <c r="F23" i="19" s="1"/>
  <c r="C23" i="27"/>
  <c r="F23" i="27" s="1"/>
  <c r="C23" i="8"/>
  <c r="F23" i="8" s="1"/>
  <c r="C23" i="29"/>
  <c r="C23" i="31"/>
  <c r="F23" i="31" s="1"/>
  <c r="C24" i="17"/>
  <c r="F24" i="17" s="1"/>
  <c r="K294" i="47" l="1"/>
  <c r="L294" i="47"/>
  <c r="L485" i="47"/>
  <c r="K485" i="47"/>
  <c r="K426" i="47"/>
  <c r="L426" i="47"/>
  <c r="L320" i="47"/>
  <c r="K320" i="47"/>
  <c r="L248" i="47"/>
  <c r="K248" i="47"/>
  <c r="L619" i="47"/>
  <c r="K619" i="47"/>
  <c r="L650" i="47"/>
  <c r="K650" i="47"/>
  <c r="L78" i="47"/>
  <c r="K78" i="47"/>
  <c r="L271" i="47"/>
  <c r="K271" i="47"/>
  <c r="L536" i="47"/>
  <c r="K536" i="47"/>
  <c r="L112" i="47"/>
  <c r="K112" i="47"/>
  <c r="L450" i="47"/>
  <c r="K450" i="47"/>
  <c r="H22" i="46"/>
  <c r="J22" i="46"/>
  <c r="I22" i="46"/>
  <c r="G22" i="46"/>
  <c r="G22" i="21"/>
  <c r="I22" i="21"/>
  <c r="H22" i="21"/>
  <c r="J22" i="21"/>
  <c r="J23" i="33"/>
  <c r="I23" i="33"/>
  <c r="H23" i="33"/>
  <c r="G23" i="33"/>
  <c r="J23" i="7"/>
  <c r="I23" i="7"/>
  <c r="H23" i="7"/>
  <c r="G23" i="7"/>
  <c r="J25" i="5"/>
  <c r="I25" i="5"/>
  <c r="H25" i="5"/>
  <c r="G25" i="5"/>
  <c r="J23" i="10"/>
  <c r="I23" i="10"/>
  <c r="H23" i="10"/>
  <c r="G23" i="10"/>
  <c r="J23" i="26"/>
  <c r="I23" i="26"/>
  <c r="H23" i="26"/>
  <c r="G23" i="26"/>
  <c r="I23" i="19"/>
  <c r="H23" i="19"/>
  <c r="G23" i="19"/>
  <c r="J23" i="19"/>
  <c r="I23" i="27"/>
  <c r="J23" i="27"/>
  <c r="H23" i="27"/>
  <c r="G23" i="27"/>
  <c r="J23" i="8"/>
  <c r="I23" i="8"/>
  <c r="H23" i="8"/>
  <c r="G23" i="8"/>
  <c r="J23" i="31"/>
  <c r="I23" i="31"/>
  <c r="H23" i="31"/>
  <c r="G23" i="31"/>
  <c r="G24" i="17"/>
  <c r="I24" i="17"/>
  <c r="H24" i="17"/>
  <c r="J24" i="17"/>
  <c r="F23" i="29"/>
  <c r="E15" i="39"/>
  <c r="F23" i="46"/>
  <c r="C24" i="46"/>
  <c r="L19" i="39"/>
  <c r="K19" i="39"/>
  <c r="O43" i="37"/>
  <c r="N43" i="37"/>
  <c r="P43" i="37" s="1"/>
  <c r="F23" i="21"/>
  <c r="C24" i="21"/>
  <c r="O42" i="37"/>
  <c r="I33" i="37"/>
  <c r="F9" i="39"/>
  <c r="I9" i="39" s="1"/>
  <c r="G9" i="39"/>
  <c r="J33" i="37"/>
  <c r="K18" i="39"/>
  <c r="C24" i="33"/>
  <c r="F24" i="33" s="1"/>
  <c r="C24" i="7"/>
  <c r="F24" i="7" s="1"/>
  <c r="N42" i="37"/>
  <c r="P42" i="37" s="1"/>
  <c r="F15" i="39"/>
  <c r="G15" i="39"/>
  <c r="I39" i="37"/>
  <c r="D15" i="39"/>
  <c r="G39" i="37"/>
  <c r="J39" i="37"/>
  <c r="C26" i="5"/>
  <c r="F26" i="5" s="1"/>
  <c r="C24" i="10"/>
  <c r="F24" i="10" s="1"/>
  <c r="C24" i="26"/>
  <c r="F24" i="26" s="1"/>
  <c r="C24" i="19"/>
  <c r="F24" i="19" s="1"/>
  <c r="C24" i="27"/>
  <c r="F24" i="27" s="1"/>
  <c r="C24" i="8"/>
  <c r="F24" i="8" s="1"/>
  <c r="C24" i="31"/>
  <c r="F24" i="31" s="1"/>
  <c r="C25" i="17"/>
  <c r="F25" i="17" s="1"/>
  <c r="K365" i="47" l="1"/>
  <c r="L365" i="47"/>
  <c r="K295" i="47"/>
  <c r="L295" i="47"/>
  <c r="L486" i="47"/>
  <c r="K486" i="47"/>
  <c r="K427" i="47"/>
  <c r="L427" i="47"/>
  <c r="L321" i="47"/>
  <c r="K321" i="47"/>
  <c r="L249" i="47"/>
  <c r="K249" i="47"/>
  <c r="L620" i="47"/>
  <c r="K620" i="47"/>
  <c r="L651" i="47"/>
  <c r="K651" i="47"/>
  <c r="L79" i="47"/>
  <c r="K79" i="47"/>
  <c r="L272" i="47"/>
  <c r="K272" i="47"/>
  <c r="L537" i="47"/>
  <c r="K537" i="47"/>
  <c r="L113" i="47"/>
  <c r="K113" i="47"/>
  <c r="L451" i="47"/>
  <c r="K451" i="47"/>
  <c r="H39" i="37"/>
  <c r="G23" i="29"/>
  <c r="J23" i="29"/>
  <c r="I23" i="29"/>
  <c r="K2" i="29"/>
  <c r="H23" i="29"/>
  <c r="H23" i="46"/>
  <c r="J23" i="46"/>
  <c r="I23" i="46"/>
  <c r="G23" i="46"/>
  <c r="H23" i="21"/>
  <c r="I23" i="21"/>
  <c r="J23" i="21"/>
  <c r="G23" i="21"/>
  <c r="I24" i="33"/>
  <c r="H24" i="33"/>
  <c r="G24" i="33"/>
  <c r="J24" i="33"/>
  <c r="G24" i="7"/>
  <c r="J24" i="7"/>
  <c r="H24" i="7"/>
  <c r="I24" i="7"/>
  <c r="J26" i="5"/>
  <c r="I26" i="5"/>
  <c r="H26" i="5"/>
  <c r="G26" i="5"/>
  <c r="H24" i="10"/>
  <c r="I24" i="10"/>
  <c r="G24" i="10"/>
  <c r="J24" i="10"/>
  <c r="J24" i="26"/>
  <c r="I24" i="26"/>
  <c r="H24" i="26"/>
  <c r="G24" i="26"/>
  <c r="I24" i="19"/>
  <c r="H24" i="19"/>
  <c r="G24" i="19"/>
  <c r="J24" i="19"/>
  <c r="J24" i="27"/>
  <c r="I24" i="27"/>
  <c r="H24" i="27"/>
  <c r="G24" i="27"/>
  <c r="J24" i="8"/>
  <c r="I24" i="8"/>
  <c r="H24" i="8"/>
  <c r="G24" i="8"/>
  <c r="J24" i="31"/>
  <c r="I24" i="31"/>
  <c r="H24" i="31"/>
  <c r="G24" i="31"/>
  <c r="I25" i="17"/>
  <c r="J25" i="17"/>
  <c r="H25" i="17"/>
  <c r="G25" i="17"/>
  <c r="F24" i="46"/>
  <c r="C25" i="46"/>
  <c r="F24" i="21"/>
  <c r="C25" i="21"/>
  <c r="M33" i="37"/>
  <c r="L33" i="37"/>
  <c r="K33" i="37"/>
  <c r="H9" i="39"/>
  <c r="L9" i="39" s="1"/>
  <c r="J9" i="39"/>
  <c r="C25" i="33"/>
  <c r="F25" i="33" s="1"/>
  <c r="C25" i="7"/>
  <c r="F25" i="7" s="1"/>
  <c r="H15" i="39"/>
  <c r="L15" i="39" s="1"/>
  <c r="J15" i="39"/>
  <c r="I15" i="39"/>
  <c r="K39" i="37"/>
  <c r="M39" i="37"/>
  <c r="L39" i="37"/>
  <c r="C27" i="5"/>
  <c r="F27" i="5" s="1"/>
  <c r="C25" i="10"/>
  <c r="F25" i="10" s="1"/>
  <c r="C25" i="26"/>
  <c r="F25" i="26" s="1"/>
  <c r="C25" i="19"/>
  <c r="F25" i="19" s="1"/>
  <c r="C25" i="27"/>
  <c r="F25" i="27" s="1"/>
  <c r="C25" i="8"/>
  <c r="F25" i="8" s="1"/>
  <c r="C25" i="31"/>
  <c r="F25" i="31" s="1"/>
  <c r="C26" i="17"/>
  <c r="F26" i="17" s="1"/>
  <c r="L296" i="47" l="1"/>
  <c r="K296" i="47"/>
  <c r="L487" i="47"/>
  <c r="K487" i="47"/>
  <c r="L428" i="47"/>
  <c r="K428" i="47"/>
  <c r="L322" i="47"/>
  <c r="K322" i="47"/>
  <c r="L250" i="47"/>
  <c r="K250" i="47"/>
  <c r="L621" i="47"/>
  <c r="K621" i="47"/>
  <c r="L652" i="47"/>
  <c r="K652" i="47"/>
  <c r="L80" i="47"/>
  <c r="K80" i="47"/>
  <c r="K273" i="47"/>
  <c r="L273" i="47"/>
  <c r="L538" i="47"/>
  <c r="K538" i="47"/>
  <c r="K114" i="47"/>
  <c r="L114" i="47"/>
  <c r="L452" i="47"/>
  <c r="K452" i="47"/>
  <c r="H24" i="46"/>
  <c r="J24" i="46"/>
  <c r="I24" i="46"/>
  <c r="G24" i="46"/>
  <c r="G24" i="21"/>
  <c r="I24" i="21"/>
  <c r="H24" i="21"/>
  <c r="J24" i="21"/>
  <c r="J25" i="33"/>
  <c r="I25" i="33"/>
  <c r="H25" i="33"/>
  <c r="G25" i="33"/>
  <c r="J25" i="7"/>
  <c r="I25" i="7"/>
  <c r="H25" i="7"/>
  <c r="G25" i="7"/>
  <c r="J27" i="5"/>
  <c r="I27" i="5"/>
  <c r="H27" i="5"/>
  <c r="G27" i="5"/>
  <c r="J25" i="10"/>
  <c r="I25" i="10"/>
  <c r="H25" i="10"/>
  <c r="G25" i="10"/>
  <c r="J25" i="26"/>
  <c r="I25" i="26"/>
  <c r="H25" i="26"/>
  <c r="G25" i="26"/>
  <c r="J25" i="19"/>
  <c r="I25" i="19"/>
  <c r="H25" i="19"/>
  <c r="G25" i="19"/>
  <c r="I25" i="27"/>
  <c r="J25" i="27"/>
  <c r="H25" i="27"/>
  <c r="G25" i="27"/>
  <c r="J25" i="8"/>
  <c r="I25" i="8"/>
  <c r="H25" i="8"/>
  <c r="G25" i="8"/>
  <c r="J25" i="31"/>
  <c r="I25" i="31"/>
  <c r="H25" i="31"/>
  <c r="G25" i="31"/>
  <c r="G26" i="17"/>
  <c r="I26" i="17"/>
  <c r="H26" i="17"/>
  <c r="J26" i="17"/>
  <c r="F25" i="46"/>
  <c r="C26" i="46"/>
  <c r="O39" i="37"/>
  <c r="F25" i="21"/>
  <c r="C26" i="21"/>
  <c r="E7" i="39" s="1"/>
  <c r="N33" i="37"/>
  <c r="P33" i="37" s="1"/>
  <c r="O33" i="37"/>
  <c r="K9" i="39"/>
  <c r="C26" i="33"/>
  <c r="F26" i="33" s="1"/>
  <c r="C26" i="7"/>
  <c r="N39" i="37"/>
  <c r="P39" i="37" s="1"/>
  <c r="K15" i="39"/>
  <c r="C28" i="5"/>
  <c r="F28" i="5" s="1"/>
  <c r="C26" i="10"/>
  <c r="F26" i="10" s="1"/>
  <c r="C26" i="26"/>
  <c r="F26" i="26" s="1"/>
  <c r="C26" i="19"/>
  <c r="F26" i="19" s="1"/>
  <c r="C26" i="27"/>
  <c r="F26" i="27" s="1"/>
  <c r="C26" i="8"/>
  <c r="F26" i="8" s="1"/>
  <c r="C26" i="31"/>
  <c r="F26" i="31" s="1"/>
  <c r="C27" i="17"/>
  <c r="F27" i="17" s="1"/>
  <c r="L297" i="47" l="1"/>
  <c r="K297" i="47"/>
  <c r="L488" i="47"/>
  <c r="K488" i="47"/>
  <c r="K323" i="47"/>
  <c r="L323" i="47"/>
  <c r="L251" i="47"/>
  <c r="K251" i="47"/>
  <c r="L622" i="47"/>
  <c r="K622" i="47"/>
  <c r="L653" i="47"/>
  <c r="K653" i="47"/>
  <c r="L81" i="47"/>
  <c r="K81" i="47"/>
  <c r="K274" i="47"/>
  <c r="L274" i="47"/>
  <c r="L539" i="47"/>
  <c r="K539" i="47"/>
  <c r="K115" i="47"/>
  <c r="L115" i="47"/>
  <c r="L453" i="47"/>
  <c r="K453" i="47"/>
  <c r="J25" i="46"/>
  <c r="I25" i="46"/>
  <c r="H25" i="46"/>
  <c r="G25" i="46"/>
  <c r="I25" i="21"/>
  <c r="J25" i="21"/>
  <c r="H25" i="21"/>
  <c r="G25" i="21"/>
  <c r="J26" i="33"/>
  <c r="I26" i="33"/>
  <c r="H26" i="33"/>
  <c r="G26" i="33"/>
  <c r="G28" i="5"/>
  <c r="H28" i="5"/>
  <c r="I28" i="5"/>
  <c r="J28" i="5"/>
  <c r="K2" i="10"/>
  <c r="G26" i="10"/>
  <c r="H26" i="10"/>
  <c r="I26" i="10"/>
  <c r="J26" i="10"/>
  <c r="J26" i="26"/>
  <c r="I26" i="26"/>
  <c r="H26" i="26"/>
  <c r="G26" i="26"/>
  <c r="K2" i="19"/>
  <c r="G26" i="19"/>
  <c r="H26" i="19"/>
  <c r="I26" i="19"/>
  <c r="J26" i="19"/>
  <c r="H26" i="27"/>
  <c r="G26" i="27"/>
  <c r="J26" i="27"/>
  <c r="I26" i="27"/>
  <c r="J26" i="8"/>
  <c r="I26" i="8"/>
  <c r="H26" i="8"/>
  <c r="G26" i="8"/>
  <c r="J26" i="31"/>
  <c r="I26" i="31"/>
  <c r="H26" i="31"/>
  <c r="G26" i="31"/>
  <c r="J27" i="17"/>
  <c r="H27" i="17"/>
  <c r="I27" i="17"/>
  <c r="G27" i="17"/>
  <c r="F26" i="7"/>
  <c r="E22" i="39"/>
  <c r="E5" i="39"/>
  <c r="E14" i="39"/>
  <c r="F26" i="46"/>
  <c r="C27" i="46"/>
  <c r="D7" i="39"/>
  <c r="F26" i="21"/>
  <c r="H31" i="37"/>
  <c r="G31" i="37"/>
  <c r="G7" i="39"/>
  <c r="F22" i="39"/>
  <c r="D22" i="39"/>
  <c r="L22" i="39" s="1"/>
  <c r="C27" i="33"/>
  <c r="F27" i="33" s="1"/>
  <c r="J46" i="37"/>
  <c r="H46" i="37"/>
  <c r="G22" i="39"/>
  <c r="I46" i="37"/>
  <c r="G46" i="37"/>
  <c r="H29" i="37"/>
  <c r="D5" i="39"/>
  <c r="J29" i="37"/>
  <c r="G29" i="37"/>
  <c r="G5" i="39"/>
  <c r="F5" i="39"/>
  <c r="I29" i="37"/>
  <c r="H38" i="37"/>
  <c r="G38" i="37"/>
  <c r="D14" i="39"/>
  <c r="I38" i="37"/>
  <c r="C29" i="5"/>
  <c r="F29" i="5" s="1"/>
  <c r="C27" i="26"/>
  <c r="F27" i="26" s="1"/>
  <c r="C27" i="27"/>
  <c r="F27" i="27" s="1"/>
  <c r="C27" i="8"/>
  <c r="F27" i="8" s="1"/>
  <c r="C27" i="31"/>
  <c r="F27" i="31" s="1"/>
  <c r="C28" i="17"/>
  <c r="F28" i="17" s="1"/>
  <c r="L429" i="47" l="1"/>
  <c r="K429" i="47"/>
  <c r="K298" i="47"/>
  <c r="L298" i="47"/>
  <c r="L489" i="47"/>
  <c r="K489" i="47"/>
  <c r="K324" i="47"/>
  <c r="L324" i="47"/>
  <c r="K623" i="47"/>
  <c r="L623" i="47"/>
  <c r="K82" i="47"/>
  <c r="L82" i="47"/>
  <c r="K275" i="47"/>
  <c r="L275" i="47"/>
  <c r="L540" i="47"/>
  <c r="K540" i="47"/>
  <c r="K116" i="47"/>
  <c r="L116" i="47"/>
  <c r="L454" i="47"/>
  <c r="K454" i="47"/>
  <c r="H26" i="7"/>
  <c r="J26" i="7"/>
  <c r="I26" i="7"/>
  <c r="K2" i="7"/>
  <c r="G26" i="7"/>
  <c r="J26" i="46"/>
  <c r="I26" i="46"/>
  <c r="H26" i="46"/>
  <c r="G26" i="46"/>
  <c r="F7" i="39"/>
  <c r="H7" i="39" s="1"/>
  <c r="H26" i="21"/>
  <c r="I26" i="21"/>
  <c r="J26" i="21"/>
  <c r="K2" i="21"/>
  <c r="G26" i="21"/>
  <c r="J27" i="33"/>
  <c r="I27" i="33"/>
  <c r="H27" i="33"/>
  <c r="G27" i="33"/>
  <c r="I29" i="5"/>
  <c r="H29" i="5"/>
  <c r="G29" i="5"/>
  <c r="J29" i="5"/>
  <c r="J27" i="26"/>
  <c r="I27" i="26"/>
  <c r="H27" i="26"/>
  <c r="G27" i="26"/>
  <c r="J27" i="27"/>
  <c r="I27" i="27"/>
  <c r="H27" i="27"/>
  <c r="G27" i="27"/>
  <c r="K2" i="8"/>
  <c r="G27" i="8"/>
  <c r="H27" i="8"/>
  <c r="I27" i="8"/>
  <c r="J27" i="8"/>
  <c r="J27" i="31"/>
  <c r="I27" i="31"/>
  <c r="H27" i="31"/>
  <c r="G27" i="31"/>
  <c r="G28" i="17"/>
  <c r="H28" i="17"/>
  <c r="I28" i="17"/>
  <c r="J28" i="17"/>
  <c r="G14" i="39"/>
  <c r="J38" i="37"/>
  <c r="F14" i="39"/>
  <c r="E8" i="39"/>
  <c r="C28" i="46"/>
  <c r="F27" i="46"/>
  <c r="I31" i="37"/>
  <c r="J31" i="37"/>
  <c r="I7" i="39"/>
  <c r="J7" i="39"/>
  <c r="H22" i="39"/>
  <c r="J22" i="39"/>
  <c r="I22" i="39"/>
  <c r="C28" i="33"/>
  <c r="F28" i="33" s="1"/>
  <c r="M46" i="37"/>
  <c r="L46" i="37"/>
  <c r="K46" i="37"/>
  <c r="O46" i="37"/>
  <c r="H5" i="39"/>
  <c r="I5" i="39"/>
  <c r="J5" i="39"/>
  <c r="L29" i="37"/>
  <c r="K29" i="37"/>
  <c r="O29" i="37" s="1"/>
  <c r="M29" i="37"/>
  <c r="L38" i="37"/>
  <c r="D8" i="39"/>
  <c r="G32" i="37"/>
  <c r="C30" i="5"/>
  <c r="F30" i="5" s="1"/>
  <c r="C28" i="26"/>
  <c r="F28" i="26" s="1"/>
  <c r="C28" i="27"/>
  <c r="F28" i="27" s="1"/>
  <c r="C28" i="31"/>
  <c r="F28" i="31" s="1"/>
  <c r="C29" i="17"/>
  <c r="F29" i="17" s="1"/>
  <c r="L490" i="47" l="1"/>
  <c r="K490" i="47"/>
  <c r="K325" i="47"/>
  <c r="L325" i="47"/>
  <c r="L624" i="47"/>
  <c r="K624" i="47"/>
  <c r="L83" i="47"/>
  <c r="K83" i="47"/>
  <c r="L541" i="47"/>
  <c r="K541" i="47"/>
  <c r="K117" i="47"/>
  <c r="L117" i="47"/>
  <c r="L455" i="47"/>
  <c r="K455" i="47"/>
  <c r="J27" i="46"/>
  <c r="I27" i="46"/>
  <c r="H27" i="46"/>
  <c r="G27" i="46"/>
  <c r="J28" i="33"/>
  <c r="I28" i="33"/>
  <c r="H28" i="33"/>
  <c r="G28" i="33"/>
  <c r="J30" i="5"/>
  <c r="I30" i="5"/>
  <c r="H30" i="5"/>
  <c r="G30" i="5"/>
  <c r="J28" i="26"/>
  <c r="I28" i="26"/>
  <c r="H28" i="26"/>
  <c r="G28" i="26"/>
  <c r="J28" i="27"/>
  <c r="I28" i="27"/>
  <c r="H28" i="27"/>
  <c r="G28" i="27"/>
  <c r="J28" i="31"/>
  <c r="I28" i="31"/>
  <c r="H28" i="31"/>
  <c r="G28" i="31"/>
  <c r="J29" i="17"/>
  <c r="I29" i="17"/>
  <c r="H29" i="17"/>
  <c r="G29" i="17"/>
  <c r="M38" i="37"/>
  <c r="K38" i="37"/>
  <c r="H14" i="39"/>
  <c r="I14" i="39"/>
  <c r="J14" i="39"/>
  <c r="G8" i="39"/>
  <c r="F8" i="39"/>
  <c r="I32" i="37"/>
  <c r="L32" i="37" s="1"/>
  <c r="H32" i="37"/>
  <c r="J32" i="37"/>
  <c r="F28" i="46"/>
  <c r="C29" i="46"/>
  <c r="L5" i="39"/>
  <c r="M31" i="37"/>
  <c r="L31" i="37"/>
  <c r="K31" i="37"/>
  <c r="K7" i="39"/>
  <c r="L7" i="39"/>
  <c r="K22" i="39"/>
  <c r="C29" i="33"/>
  <c r="F29" i="33" s="1"/>
  <c r="N46" i="37"/>
  <c r="P46" i="37" s="1"/>
  <c r="K5" i="39"/>
  <c r="N29" i="37"/>
  <c r="P29" i="37" s="1"/>
  <c r="C31" i="5"/>
  <c r="F31" i="5" s="1"/>
  <c r="C29" i="26"/>
  <c r="F29" i="26" s="1"/>
  <c r="C29" i="27"/>
  <c r="F29" i="27" s="1"/>
  <c r="C29" i="31"/>
  <c r="F29" i="31" s="1"/>
  <c r="C30" i="17"/>
  <c r="F30" i="17" s="1"/>
  <c r="L491" i="47" l="1"/>
  <c r="K491" i="47"/>
  <c r="K326" i="47"/>
  <c r="L326" i="47"/>
  <c r="K625" i="47"/>
  <c r="L625" i="47"/>
  <c r="K84" i="47"/>
  <c r="L84" i="47"/>
  <c r="L542" i="47"/>
  <c r="K542" i="47"/>
  <c r="K118" i="47"/>
  <c r="L118" i="47"/>
  <c r="L456" i="47"/>
  <c r="K456" i="47"/>
  <c r="J28" i="46"/>
  <c r="I28" i="46"/>
  <c r="H28" i="46"/>
  <c r="G28" i="46"/>
  <c r="K2" i="33"/>
  <c r="G29" i="33"/>
  <c r="H29" i="33"/>
  <c r="I29" i="33"/>
  <c r="J29" i="33"/>
  <c r="K2" i="5"/>
  <c r="G31" i="5"/>
  <c r="H31" i="5"/>
  <c r="I31" i="5"/>
  <c r="J31" i="5"/>
  <c r="J29" i="26"/>
  <c r="I29" i="26"/>
  <c r="H29" i="26"/>
  <c r="G29" i="26"/>
  <c r="J29" i="27"/>
  <c r="I29" i="27"/>
  <c r="H29" i="27"/>
  <c r="G29" i="27"/>
  <c r="J29" i="31"/>
  <c r="I29" i="31"/>
  <c r="H29" i="31"/>
  <c r="G29" i="31"/>
  <c r="J30" i="17"/>
  <c r="I30" i="17"/>
  <c r="H30" i="17"/>
  <c r="G30" i="17"/>
  <c r="O38" i="37"/>
  <c r="N38" i="37"/>
  <c r="P38" i="37" s="1"/>
  <c r="L14" i="39"/>
  <c r="K14" i="39"/>
  <c r="H8" i="39"/>
  <c r="J8" i="39"/>
  <c r="I8" i="39"/>
  <c r="M32" i="37"/>
  <c r="K32" i="37"/>
  <c r="E26" i="39"/>
  <c r="E12" i="39"/>
  <c r="F29" i="46"/>
  <c r="C30" i="46"/>
  <c r="N31" i="37"/>
  <c r="P31" i="37" s="1"/>
  <c r="O31" i="37"/>
  <c r="G50" i="37"/>
  <c r="D26" i="39"/>
  <c r="H36" i="37"/>
  <c r="G36" i="37"/>
  <c r="G12" i="39"/>
  <c r="D12" i="39"/>
  <c r="I36" i="37"/>
  <c r="C30" i="26"/>
  <c r="F30" i="26" s="1"/>
  <c r="C30" i="27"/>
  <c r="F30" i="27" s="1"/>
  <c r="C30" i="31"/>
  <c r="F30" i="31" s="1"/>
  <c r="C31" i="17"/>
  <c r="F31" i="17" s="1"/>
  <c r="K8" i="39" l="1"/>
  <c r="L626" i="47"/>
  <c r="K626" i="47"/>
  <c r="L85" i="47"/>
  <c r="K85" i="47"/>
  <c r="L543" i="47"/>
  <c r="K543" i="47"/>
  <c r="L119" i="47"/>
  <c r="K119" i="47"/>
  <c r="L457" i="47"/>
  <c r="K457" i="47"/>
  <c r="J29" i="46"/>
  <c r="I29" i="46"/>
  <c r="H29" i="46"/>
  <c r="G29" i="46"/>
  <c r="J30" i="26"/>
  <c r="I30" i="26"/>
  <c r="H30" i="26"/>
  <c r="G30" i="26"/>
  <c r="J30" i="27"/>
  <c r="I30" i="27"/>
  <c r="H30" i="27"/>
  <c r="G30" i="27"/>
  <c r="J30" i="31"/>
  <c r="I30" i="31"/>
  <c r="H30" i="31"/>
  <c r="G30" i="31"/>
  <c r="J31" i="17"/>
  <c r="I31" i="17"/>
  <c r="H31" i="17"/>
  <c r="G31" i="17"/>
  <c r="L8" i="39"/>
  <c r="N32" i="37"/>
  <c r="P32" i="37" s="1"/>
  <c r="O32" i="37"/>
  <c r="H50" i="37"/>
  <c r="J50" i="37"/>
  <c r="J36" i="37"/>
  <c r="F12" i="39"/>
  <c r="F30" i="46"/>
  <c r="C31" i="46"/>
  <c r="F26" i="39"/>
  <c r="G26" i="39"/>
  <c r="I50" i="37"/>
  <c r="L36" i="37"/>
  <c r="C31" i="26"/>
  <c r="F31" i="26" s="1"/>
  <c r="C31" i="27"/>
  <c r="F31" i="27" s="1"/>
  <c r="C31" i="31"/>
  <c r="F31" i="31" s="1"/>
  <c r="C32" i="17"/>
  <c r="F32" i="17" s="1"/>
  <c r="L627" i="47" l="1"/>
  <c r="K627" i="47"/>
  <c r="L86" i="47"/>
  <c r="K86" i="47"/>
  <c r="L544" i="47"/>
  <c r="K544" i="47"/>
  <c r="L120" i="47"/>
  <c r="K120" i="47"/>
  <c r="L458" i="47"/>
  <c r="K458" i="47"/>
  <c r="J30" i="46"/>
  <c r="I30" i="46"/>
  <c r="H30" i="46"/>
  <c r="G30" i="46"/>
  <c r="J31" i="26"/>
  <c r="I31" i="26"/>
  <c r="H31" i="26"/>
  <c r="G31" i="26"/>
  <c r="J31" i="27"/>
  <c r="I31" i="27"/>
  <c r="H31" i="27"/>
  <c r="G31" i="27"/>
  <c r="J31" i="31"/>
  <c r="I31" i="31"/>
  <c r="H31" i="31"/>
  <c r="G31" i="31"/>
  <c r="J32" i="17"/>
  <c r="I32" i="17"/>
  <c r="H32" i="17"/>
  <c r="G32" i="17"/>
  <c r="M36" i="37"/>
  <c r="K36" i="37"/>
  <c r="H12" i="39"/>
  <c r="I12" i="39"/>
  <c r="J12" i="39"/>
  <c r="L12" i="39"/>
  <c r="F31" i="46"/>
  <c r="C32" i="46"/>
  <c r="I26" i="39"/>
  <c r="H26" i="39"/>
  <c r="J26" i="39"/>
  <c r="K50" i="37"/>
  <c r="M50" i="37"/>
  <c r="L50" i="37"/>
  <c r="C32" i="26"/>
  <c r="F32" i="26" s="1"/>
  <c r="C32" i="27"/>
  <c r="F32" i="27" s="1"/>
  <c r="C32" i="31"/>
  <c r="F32" i="31" s="1"/>
  <c r="C33" i="17"/>
  <c r="F33" i="17" s="1"/>
  <c r="L628" i="47" l="1"/>
  <c r="K628" i="47"/>
  <c r="L87" i="47"/>
  <c r="K87" i="47"/>
  <c r="L545" i="47"/>
  <c r="K545" i="47"/>
  <c r="L121" i="47"/>
  <c r="K121" i="47"/>
  <c r="L459" i="47"/>
  <c r="K459" i="47"/>
  <c r="J31" i="46"/>
  <c r="I31" i="46"/>
  <c r="H31" i="46"/>
  <c r="G31" i="46"/>
  <c r="J32" i="26"/>
  <c r="I32" i="26"/>
  <c r="H32" i="26"/>
  <c r="G32" i="26"/>
  <c r="J32" i="27"/>
  <c r="I32" i="27"/>
  <c r="H32" i="27"/>
  <c r="G32" i="27"/>
  <c r="J32" i="31"/>
  <c r="I32" i="31"/>
  <c r="H32" i="31"/>
  <c r="G32" i="31"/>
  <c r="J33" i="17"/>
  <c r="I33" i="17"/>
  <c r="H33" i="17"/>
  <c r="G33" i="17"/>
  <c r="K12" i="39"/>
  <c r="O36" i="37"/>
  <c r="N36" i="37"/>
  <c r="P36" i="37" s="1"/>
  <c r="F32" i="46"/>
  <c r="C33" i="46"/>
  <c r="L26" i="39"/>
  <c r="N50" i="37"/>
  <c r="P50" i="37" s="1"/>
  <c r="O50" i="37"/>
  <c r="K26" i="39"/>
  <c r="C33" i="26"/>
  <c r="F33" i="26" s="1"/>
  <c r="C33" i="27"/>
  <c r="F33" i="27" s="1"/>
  <c r="C33" i="31"/>
  <c r="F33" i="31" s="1"/>
  <c r="C34" i="17"/>
  <c r="F34" i="17" s="1"/>
  <c r="L629" i="47" l="1"/>
  <c r="K629" i="47"/>
  <c r="L88" i="47"/>
  <c r="K88" i="47"/>
  <c r="L546" i="47"/>
  <c r="K546" i="47"/>
  <c r="L122" i="47"/>
  <c r="K122" i="47"/>
  <c r="L460" i="47"/>
  <c r="K460" i="47"/>
  <c r="J32" i="46"/>
  <c r="I32" i="46"/>
  <c r="H32" i="46"/>
  <c r="G32" i="46"/>
  <c r="H33" i="26"/>
  <c r="I33" i="26"/>
  <c r="J33" i="26"/>
  <c r="G33" i="26"/>
  <c r="J33" i="27"/>
  <c r="I33" i="27"/>
  <c r="H33" i="27"/>
  <c r="G33" i="27"/>
  <c r="J33" i="31"/>
  <c r="I33" i="31"/>
  <c r="H33" i="31"/>
  <c r="G33" i="31"/>
  <c r="J34" i="17"/>
  <c r="I34" i="17"/>
  <c r="H34" i="17"/>
  <c r="G34" i="17"/>
  <c r="F33" i="46"/>
  <c r="C34" i="46"/>
  <c r="C34" i="26"/>
  <c r="F34" i="26" s="1"/>
  <c r="C34" i="27"/>
  <c r="F34" i="27" s="1"/>
  <c r="C34" i="31"/>
  <c r="F34" i="31" s="1"/>
  <c r="C35" i="17"/>
  <c r="F35" i="17" s="1"/>
  <c r="L630" i="47" l="1"/>
  <c r="K630" i="47"/>
  <c r="L89" i="47"/>
  <c r="K89" i="47"/>
  <c r="L547" i="47"/>
  <c r="K547" i="47"/>
  <c r="K123" i="47"/>
  <c r="L123" i="47"/>
  <c r="L461" i="47"/>
  <c r="K461" i="47"/>
  <c r="J33" i="46"/>
  <c r="I33" i="46"/>
  <c r="H33" i="46"/>
  <c r="G33" i="46"/>
  <c r="K2" i="26"/>
  <c r="G34" i="26"/>
  <c r="H34" i="26"/>
  <c r="I34" i="26"/>
  <c r="J34" i="26"/>
  <c r="J34" i="27"/>
  <c r="I34" i="27"/>
  <c r="H34" i="27"/>
  <c r="G34" i="27"/>
  <c r="J34" i="31"/>
  <c r="I34" i="31"/>
  <c r="H34" i="31"/>
  <c r="G34" i="31"/>
  <c r="J35" i="17"/>
  <c r="I35" i="17"/>
  <c r="H35" i="17"/>
  <c r="G35" i="17"/>
  <c r="H41" i="37"/>
  <c r="E17" i="39"/>
  <c r="F34" i="46"/>
  <c r="C35" i="46"/>
  <c r="I41" i="37"/>
  <c r="G41" i="37"/>
  <c r="F17" i="39"/>
  <c r="J41" i="37"/>
  <c r="D17" i="39"/>
  <c r="G17" i="39"/>
  <c r="C35" i="27"/>
  <c r="F35" i="27" s="1"/>
  <c r="C35" i="31"/>
  <c r="C36" i="17"/>
  <c r="F36" i="17" s="1"/>
  <c r="K90" i="47" l="1"/>
  <c r="L90" i="47"/>
  <c r="L548" i="47"/>
  <c r="K548" i="47"/>
  <c r="L462" i="47"/>
  <c r="K462" i="47"/>
  <c r="J34" i="46"/>
  <c r="I34" i="46"/>
  <c r="H34" i="46"/>
  <c r="G34" i="46"/>
  <c r="J35" i="27"/>
  <c r="I35" i="27"/>
  <c r="H35" i="27"/>
  <c r="G35" i="27"/>
  <c r="J36" i="17"/>
  <c r="I36" i="17"/>
  <c r="H36" i="17"/>
  <c r="G36" i="17"/>
  <c r="F35" i="31"/>
  <c r="E13" i="39"/>
  <c r="F35" i="46"/>
  <c r="C36" i="46"/>
  <c r="L41" i="37"/>
  <c r="K41" i="37"/>
  <c r="M41" i="37"/>
  <c r="H17" i="39"/>
  <c r="L17" i="39" s="1"/>
  <c r="I17" i="39"/>
  <c r="J17" i="39"/>
  <c r="C36" i="27"/>
  <c r="F36" i="27" s="1"/>
  <c r="J37" i="37"/>
  <c r="G13" i="39"/>
  <c r="F13" i="39"/>
  <c r="I37" i="37"/>
  <c r="D13" i="39"/>
  <c r="G37" i="37"/>
  <c r="C37" i="17"/>
  <c r="F37" i="17" s="1"/>
  <c r="K91" i="47" l="1"/>
  <c r="L91" i="47"/>
  <c r="L549" i="47"/>
  <c r="K549" i="47"/>
  <c r="K124" i="47"/>
  <c r="L124" i="47"/>
  <c r="L463" i="47"/>
  <c r="K463" i="47"/>
  <c r="H37" i="37"/>
  <c r="J35" i="31"/>
  <c r="I35" i="31"/>
  <c r="H35" i="31"/>
  <c r="G35" i="31"/>
  <c r="K2" i="31"/>
  <c r="J35" i="46"/>
  <c r="I35" i="46"/>
  <c r="H35" i="46"/>
  <c r="G35" i="46"/>
  <c r="J36" i="27"/>
  <c r="I36" i="27"/>
  <c r="H36" i="27"/>
  <c r="G36" i="27"/>
  <c r="J37" i="17"/>
  <c r="I37" i="17"/>
  <c r="H37" i="17"/>
  <c r="G37" i="17"/>
  <c r="F36" i="46"/>
  <c r="C37" i="46"/>
  <c r="O41" i="37"/>
  <c r="N41" i="37"/>
  <c r="P41" i="37" s="1"/>
  <c r="K17" i="39"/>
  <c r="C37" i="27"/>
  <c r="F37" i="27" s="1"/>
  <c r="J13" i="39"/>
  <c r="H13" i="39"/>
  <c r="L13" i="39" s="1"/>
  <c r="I13" i="39"/>
  <c r="K37" i="37"/>
  <c r="M37" i="37"/>
  <c r="L37" i="37"/>
  <c r="C38" i="17"/>
  <c r="F38" i="17" s="1"/>
  <c r="K92" i="47" l="1"/>
  <c r="L92" i="47"/>
  <c r="L550" i="47"/>
  <c r="K550" i="47"/>
  <c r="L464" i="47"/>
  <c r="K464" i="47"/>
  <c r="J36" i="46"/>
  <c r="I36" i="46"/>
  <c r="H36" i="46"/>
  <c r="G36" i="46"/>
  <c r="K2" i="27"/>
  <c r="G37" i="27"/>
  <c r="H37" i="27"/>
  <c r="I37" i="27"/>
  <c r="J37" i="27"/>
  <c r="J38" i="17"/>
  <c r="I38" i="17"/>
  <c r="H38" i="17"/>
  <c r="G38" i="17"/>
  <c r="H35" i="37"/>
  <c r="E11" i="39"/>
  <c r="F37" i="46"/>
  <c r="C38" i="46"/>
  <c r="K13" i="39"/>
  <c r="O37" i="37"/>
  <c r="N37" i="37"/>
  <c r="P37" i="37" s="1"/>
  <c r="D11" i="39"/>
  <c r="J35" i="37"/>
  <c r="G11" i="39"/>
  <c r="G35" i="37"/>
  <c r="F11" i="39"/>
  <c r="I35" i="37"/>
  <c r="C39" i="17"/>
  <c r="L551" i="47" l="1"/>
  <c r="K551" i="47"/>
  <c r="J37" i="46"/>
  <c r="I37" i="46"/>
  <c r="H37" i="46"/>
  <c r="G37" i="46"/>
  <c r="F39" i="17"/>
  <c r="E23" i="39"/>
  <c r="F38" i="46"/>
  <c r="C39" i="46"/>
  <c r="I11" i="39"/>
  <c r="J11" i="39"/>
  <c r="H11" i="39"/>
  <c r="L35" i="37"/>
  <c r="M35" i="37"/>
  <c r="K35" i="37"/>
  <c r="J47" i="37"/>
  <c r="G47" i="37"/>
  <c r="G23" i="39"/>
  <c r="F23" i="39"/>
  <c r="D23" i="39"/>
  <c r="L552" i="47" l="1"/>
  <c r="K552" i="47"/>
  <c r="L465" i="47"/>
  <c r="K465" i="47"/>
  <c r="J39" i="17"/>
  <c r="I39" i="17"/>
  <c r="H39" i="17"/>
  <c r="G39" i="17"/>
  <c r="K2" i="17"/>
  <c r="J38" i="46"/>
  <c r="I38" i="46"/>
  <c r="H38" i="46"/>
  <c r="G38" i="46"/>
  <c r="F39" i="46"/>
  <c r="C40" i="46"/>
  <c r="L11" i="39"/>
  <c r="O35" i="37"/>
  <c r="H47" i="37"/>
  <c r="H53" i="37" s="1"/>
  <c r="B61" i="37" s="1"/>
  <c r="C61" i="37" s="1"/>
  <c r="I47" i="37"/>
  <c r="K47" i="37" s="1"/>
  <c r="K11" i="39"/>
  <c r="N35" i="37"/>
  <c r="P35" i="37" s="1"/>
  <c r="J53" i="37"/>
  <c r="G53" i="37"/>
  <c r="H23" i="39"/>
  <c r="I23" i="39"/>
  <c r="J23" i="39"/>
  <c r="L553" i="47" l="1"/>
  <c r="K553" i="47"/>
  <c r="J39" i="46"/>
  <c r="I39" i="46"/>
  <c r="H39" i="46"/>
  <c r="G39" i="46"/>
  <c r="L23" i="39"/>
  <c r="C41" i="46"/>
  <c r="F40" i="46"/>
  <c r="I53" i="37"/>
  <c r="L47" i="37"/>
  <c r="M47" i="37"/>
  <c r="B59" i="37"/>
  <c r="C59" i="37" s="1"/>
  <c r="B84" i="37"/>
  <c r="B96" i="37"/>
  <c r="B93" i="37"/>
  <c r="K53" i="37"/>
  <c r="K23" i="39"/>
  <c r="L554" i="47" l="1"/>
  <c r="K554" i="47"/>
  <c r="J40" i="46"/>
  <c r="I40" i="46"/>
  <c r="H40" i="46"/>
  <c r="G40" i="46"/>
  <c r="C42" i="46"/>
  <c r="F41" i="46"/>
  <c r="O47" i="37"/>
  <c r="N47" i="37"/>
  <c r="P47" i="37" s="1"/>
  <c r="B58" i="37"/>
  <c r="C58" i="37" s="1"/>
  <c r="M53" i="37"/>
  <c r="L53" i="37"/>
  <c r="N53" i="37" s="1"/>
  <c r="P53" i="37" s="1"/>
  <c r="B85" i="37"/>
  <c r="B95" i="37"/>
  <c r="B60" i="37"/>
  <c r="C60" i="37" s="1"/>
  <c r="L555" i="47" l="1"/>
  <c r="K555" i="47"/>
  <c r="J41" i="46"/>
  <c r="I41" i="46"/>
  <c r="H41" i="46"/>
  <c r="G41" i="46"/>
  <c r="F42" i="46"/>
  <c r="C43" i="46"/>
  <c r="B66" i="37"/>
  <c r="B69" i="37"/>
  <c r="B68" i="37"/>
  <c r="B70" i="37"/>
  <c r="B67" i="37"/>
  <c r="O53" i="37"/>
  <c r="B86" i="37"/>
  <c r="B94" i="37"/>
  <c r="L556" i="47" l="1"/>
  <c r="K556" i="47"/>
  <c r="J42" i="46"/>
  <c r="I42" i="46"/>
  <c r="H42" i="46"/>
  <c r="G42" i="46"/>
  <c r="F43" i="46"/>
  <c r="C44" i="46"/>
  <c r="C66" i="37"/>
  <c r="F66" i="37"/>
  <c r="E66" i="37"/>
  <c r="E69" i="37"/>
  <c r="C69" i="37"/>
  <c r="F69" i="37"/>
  <c r="F68" i="37"/>
  <c r="C68" i="37"/>
  <c r="E68" i="37"/>
  <c r="E70" i="37"/>
  <c r="F70" i="37"/>
  <c r="C70" i="37"/>
  <c r="E67" i="37"/>
  <c r="F67" i="37"/>
  <c r="C67" i="37"/>
  <c r="L557" i="47" l="1"/>
  <c r="K557" i="47"/>
  <c r="J43" i="46"/>
  <c r="I43" i="46"/>
  <c r="H43" i="46"/>
  <c r="G43" i="46"/>
  <c r="G66" i="37"/>
  <c r="F44" i="46"/>
  <c r="C45" i="46"/>
  <c r="G69" i="37"/>
  <c r="H69" i="37"/>
  <c r="G68" i="37"/>
  <c r="H66" i="37"/>
  <c r="H70" i="37"/>
  <c r="H68" i="37"/>
  <c r="G70" i="37"/>
  <c r="G67" i="37"/>
  <c r="H67" i="37"/>
  <c r="L558" i="47" l="1"/>
  <c r="K558" i="47"/>
  <c r="J44" i="46"/>
  <c r="I44" i="46"/>
  <c r="H44" i="46"/>
  <c r="G44" i="46"/>
  <c r="F45" i="46"/>
  <c r="C46" i="46"/>
  <c r="L559" i="47" l="1"/>
  <c r="K559" i="47"/>
  <c r="J45" i="46"/>
  <c r="I45" i="46"/>
  <c r="H45" i="46"/>
  <c r="G45" i="46"/>
  <c r="F46" i="46"/>
  <c r="C47" i="46"/>
  <c r="L560" i="47" l="1"/>
  <c r="K560" i="47"/>
  <c r="J46" i="46"/>
  <c r="I46" i="46"/>
  <c r="H46" i="46"/>
  <c r="G46" i="46"/>
  <c r="F47" i="46"/>
  <c r="C48" i="46"/>
  <c r="L561" i="47" l="1"/>
  <c r="K561" i="47"/>
  <c r="J47" i="46"/>
  <c r="I47" i="46"/>
  <c r="H47" i="46"/>
  <c r="G47" i="46"/>
  <c r="C49" i="46"/>
  <c r="F48" i="46"/>
  <c r="L562" i="47" l="1"/>
  <c r="K562" i="47"/>
  <c r="J48" i="46"/>
  <c r="I48" i="46"/>
  <c r="H48" i="46"/>
  <c r="G48" i="46"/>
  <c r="F49" i="46"/>
  <c r="C50" i="46"/>
  <c r="L563" i="47" l="1"/>
  <c r="K563" i="47"/>
  <c r="J49" i="46"/>
  <c r="I49" i="46"/>
  <c r="H49" i="46"/>
  <c r="G49" i="46"/>
  <c r="F50" i="46"/>
  <c r="C51" i="46"/>
  <c r="L564" i="47" l="1"/>
  <c r="K564" i="47"/>
  <c r="J50" i="46"/>
  <c r="I50" i="46"/>
  <c r="H50" i="46"/>
  <c r="G50" i="46"/>
  <c r="F51" i="46"/>
  <c r="C52" i="46"/>
  <c r="L565" i="47" l="1"/>
  <c r="K565" i="47"/>
  <c r="J51" i="46"/>
  <c r="I51" i="46"/>
  <c r="H51" i="46"/>
  <c r="G51" i="46"/>
  <c r="F52" i="46"/>
  <c r="C53" i="46"/>
  <c r="L566" i="47" l="1"/>
  <c r="K566" i="47"/>
  <c r="J52" i="46"/>
  <c r="I52" i="46"/>
  <c r="H52" i="46"/>
  <c r="G52" i="46"/>
  <c r="F53" i="46"/>
  <c r="C54" i="46"/>
  <c r="L567" i="47" l="1"/>
  <c r="K567" i="47"/>
  <c r="J53" i="46"/>
  <c r="I53" i="46"/>
  <c r="H53" i="46"/>
  <c r="G53" i="46"/>
  <c r="F54" i="46"/>
  <c r="C55" i="46"/>
  <c r="L568" i="47" l="1"/>
  <c r="K568" i="47"/>
  <c r="J54" i="46"/>
  <c r="I54" i="46"/>
  <c r="H54" i="46"/>
  <c r="G54" i="46"/>
  <c r="C56" i="46"/>
  <c r="F55" i="46"/>
  <c r="L569" i="47" l="1"/>
  <c r="K569" i="47"/>
  <c r="J55" i="46"/>
  <c r="I55" i="46"/>
  <c r="H55" i="46"/>
  <c r="G55" i="46"/>
  <c r="C57" i="46"/>
  <c r="F56" i="46"/>
  <c r="L570" i="47" l="1"/>
  <c r="K570" i="47"/>
  <c r="J56" i="46"/>
  <c r="I56" i="46"/>
  <c r="H56" i="46"/>
  <c r="G56" i="46"/>
  <c r="F57" i="46"/>
  <c r="C58" i="46"/>
  <c r="L571" i="47" l="1"/>
  <c r="K571" i="47"/>
  <c r="J57" i="46"/>
  <c r="I57" i="46"/>
  <c r="H57" i="46"/>
  <c r="G57" i="46"/>
  <c r="F58" i="46"/>
  <c r="C59" i="46"/>
  <c r="L572" i="47" l="1"/>
  <c r="K572" i="47"/>
  <c r="J58" i="46"/>
  <c r="I58" i="46"/>
  <c r="H58" i="46"/>
  <c r="G58" i="46"/>
  <c r="C60" i="46"/>
  <c r="F59" i="46"/>
  <c r="L573" i="47" l="1"/>
  <c r="K573" i="47"/>
  <c r="J59" i="46"/>
  <c r="I59" i="46"/>
  <c r="H59" i="46"/>
  <c r="G59" i="46"/>
  <c r="F60" i="46"/>
  <c r="C61" i="46"/>
  <c r="L574" i="47" l="1"/>
  <c r="K574" i="47"/>
  <c r="J60" i="46"/>
  <c r="I60" i="46"/>
  <c r="H60" i="46"/>
  <c r="G60" i="46"/>
  <c r="F61" i="46"/>
  <c r="C62" i="46"/>
  <c r="L575" i="47" l="1"/>
  <c r="K575" i="47"/>
  <c r="J61" i="46"/>
  <c r="I61" i="46"/>
  <c r="H61" i="46"/>
  <c r="G61" i="46"/>
  <c r="F62" i="46"/>
  <c r="C63" i="46"/>
  <c r="L576" i="47" l="1"/>
  <c r="K576" i="47"/>
  <c r="J62" i="46"/>
  <c r="I62" i="46"/>
  <c r="H62" i="46"/>
  <c r="G62" i="46"/>
  <c r="C64" i="46"/>
  <c r="F63" i="46"/>
  <c r="L577" i="47" l="1"/>
  <c r="K577" i="47"/>
  <c r="J63" i="46"/>
  <c r="I63" i="46"/>
  <c r="H63" i="46"/>
  <c r="G63" i="46"/>
  <c r="F64" i="46"/>
  <c r="C65" i="46"/>
  <c r="L578" i="47" l="1"/>
  <c r="K578" i="47"/>
  <c r="J64" i="46"/>
  <c r="I64" i="46"/>
  <c r="H64" i="46"/>
  <c r="G64" i="46"/>
  <c r="C66" i="46"/>
  <c r="F65" i="46"/>
  <c r="L579" i="47" l="1"/>
  <c r="K579" i="47"/>
  <c r="J65" i="46"/>
  <c r="I65" i="46"/>
  <c r="H65" i="46"/>
  <c r="G65" i="46"/>
  <c r="F66" i="46"/>
  <c r="C67" i="46"/>
  <c r="L580" i="47" l="1"/>
  <c r="K580" i="47"/>
  <c r="J66" i="46"/>
  <c r="I66" i="46"/>
  <c r="H66" i="46"/>
  <c r="G66" i="46"/>
  <c r="F67" i="46"/>
  <c r="C68" i="46"/>
  <c r="L581" i="47" l="1"/>
  <c r="K581" i="47"/>
  <c r="J67" i="46"/>
  <c r="I67" i="46"/>
  <c r="H67" i="46"/>
  <c r="G67" i="46"/>
  <c r="C69" i="46"/>
  <c r="F68" i="46"/>
  <c r="L582" i="47" l="1"/>
  <c r="K582" i="47"/>
  <c r="J68" i="46"/>
  <c r="I68" i="46"/>
  <c r="H68" i="46"/>
  <c r="G68" i="46"/>
  <c r="F69" i="46"/>
  <c r="C70" i="46"/>
  <c r="L583" i="47" l="1"/>
  <c r="K583" i="47"/>
  <c r="J69" i="46"/>
  <c r="I69" i="46"/>
  <c r="H69" i="46"/>
  <c r="G69" i="46"/>
  <c r="F70" i="46"/>
  <c r="C71" i="46"/>
  <c r="L584" i="47" l="1"/>
  <c r="K584" i="47"/>
  <c r="J70" i="46"/>
  <c r="I70" i="46"/>
  <c r="H70" i="46"/>
  <c r="G70" i="46"/>
  <c r="F71" i="46"/>
  <c r="C72" i="46"/>
  <c r="L585" i="47" l="1"/>
  <c r="K585" i="47"/>
  <c r="J71" i="46"/>
  <c r="I71" i="46"/>
  <c r="H71" i="46"/>
  <c r="G71" i="46"/>
  <c r="F72" i="46"/>
  <c r="C73" i="46"/>
  <c r="L586" i="47" l="1"/>
  <c r="K586" i="47"/>
  <c r="J72" i="46"/>
  <c r="I72" i="46"/>
  <c r="H72" i="46"/>
  <c r="G72" i="46"/>
  <c r="C74" i="46"/>
  <c r="F73" i="46"/>
  <c r="L587" i="47" l="1"/>
  <c r="K587" i="47"/>
  <c r="J73" i="46"/>
  <c r="I73" i="46"/>
  <c r="H73" i="46"/>
  <c r="G73" i="46"/>
  <c r="F74" i="46"/>
  <c r="C75" i="46"/>
  <c r="L588" i="47" l="1"/>
  <c r="K588" i="47"/>
  <c r="J74" i="46"/>
  <c r="I74" i="46"/>
  <c r="H74" i="46"/>
  <c r="G74" i="46"/>
  <c r="C76" i="46"/>
  <c r="F75" i="46"/>
  <c r="L589" i="47" l="1"/>
  <c r="K589" i="47"/>
  <c r="J75" i="46"/>
  <c r="I75" i="46"/>
  <c r="H75" i="46"/>
  <c r="G75" i="46"/>
  <c r="C77" i="46"/>
  <c r="F76" i="46"/>
  <c r="L590" i="47" l="1"/>
  <c r="K590" i="47"/>
  <c r="J76" i="46"/>
  <c r="I76" i="46"/>
  <c r="H76" i="46"/>
  <c r="G76" i="46"/>
  <c r="F77" i="46"/>
  <c r="C78" i="46"/>
  <c r="L591" i="47" l="1"/>
  <c r="K591" i="47"/>
  <c r="J77" i="46"/>
  <c r="I77" i="46"/>
  <c r="H77" i="46"/>
  <c r="G77" i="46"/>
  <c r="F78" i="46"/>
  <c r="C79" i="46"/>
  <c r="L592" i="47" l="1"/>
  <c r="K592" i="47"/>
  <c r="J78" i="46"/>
  <c r="I78" i="46"/>
  <c r="H78" i="46"/>
  <c r="G78" i="46"/>
  <c r="C80" i="46"/>
  <c r="F79" i="46"/>
  <c r="L593" i="47" l="1"/>
  <c r="K593" i="47"/>
  <c r="J79" i="46"/>
  <c r="I79" i="46"/>
  <c r="H79" i="46"/>
  <c r="G79" i="46"/>
  <c r="F80" i="46"/>
  <c r="C81" i="46"/>
  <c r="L594" i="47" l="1"/>
  <c r="K594" i="47"/>
  <c r="J80" i="46"/>
  <c r="I80" i="46"/>
  <c r="H80" i="46"/>
  <c r="G80" i="46"/>
  <c r="C82" i="46"/>
  <c r="F81" i="46"/>
  <c r="L595" i="47" l="1"/>
  <c r="K595" i="47"/>
  <c r="J81" i="46"/>
  <c r="I81" i="46"/>
  <c r="H81" i="46"/>
  <c r="G81" i="46"/>
  <c r="C83" i="46"/>
  <c r="F82" i="46"/>
  <c r="L596" i="47" l="1"/>
  <c r="K596" i="47"/>
  <c r="J82" i="46"/>
  <c r="I82" i="46"/>
  <c r="H82" i="46"/>
  <c r="G82" i="46"/>
  <c r="F83" i="46"/>
  <c r="C84" i="46"/>
  <c r="L597" i="47" l="1"/>
  <c r="K597" i="47"/>
  <c r="J83" i="46"/>
  <c r="I83" i="46"/>
  <c r="H83" i="46"/>
  <c r="G83" i="46"/>
  <c r="F84" i="46"/>
  <c r="C85" i="46"/>
  <c r="F85" i="46" s="1"/>
  <c r="L598" i="47" l="1"/>
  <c r="K598" i="47"/>
  <c r="L599" i="47"/>
  <c r="K599" i="47"/>
  <c r="J84" i="46"/>
  <c r="I84" i="46"/>
  <c r="H84" i="46"/>
  <c r="G84" i="46"/>
  <c r="K2" i="46"/>
  <c r="G85" i="46"/>
  <c r="H85" i="46"/>
  <c r="I85" i="46"/>
  <c r="J85" i="46"/>
  <c r="E29" i="39"/>
  <c r="E31" i="39" s="1"/>
  <c r="D20" i="40" s="1"/>
  <c r="D29" i="39"/>
  <c r="Q97" i="47" l="1"/>
  <c r="Q73" i="47"/>
  <c r="Q53" i="47"/>
  <c r="Q19" i="47"/>
  <c r="Q65" i="47"/>
  <c r="Q23" i="47"/>
  <c r="Q66" i="47"/>
  <c r="Q67" i="47"/>
  <c r="Q87" i="47"/>
  <c r="Q80" i="47"/>
  <c r="Q31" i="47"/>
  <c r="Q68" i="47"/>
  <c r="Q39" i="47"/>
  <c r="Q28" i="47"/>
  <c r="Q93" i="47"/>
  <c r="Q78" i="47"/>
  <c r="Q41" i="47"/>
  <c r="Q55" i="47"/>
  <c r="Q35" i="47"/>
  <c r="Q44" i="47"/>
  <c r="Q49" i="47"/>
  <c r="Q51" i="47"/>
  <c r="Q20" i="47"/>
  <c r="Q59" i="47"/>
  <c r="Q64" i="47"/>
  <c r="Q25" i="47"/>
  <c r="Q50" i="47"/>
  <c r="Q98" i="47"/>
  <c r="Q74" i="47"/>
  <c r="Q76" i="47"/>
  <c r="Q13" i="47"/>
  <c r="Q32" i="47"/>
  <c r="Q14" i="47"/>
  <c r="Q94" i="47"/>
  <c r="Q75" i="47"/>
  <c r="Q6" i="47"/>
  <c r="Q34" i="47"/>
  <c r="Q56" i="47"/>
  <c r="Q38" i="47"/>
  <c r="Q96" i="47"/>
  <c r="Q22" i="47"/>
  <c r="Q42" i="47"/>
  <c r="Q95" i="47"/>
  <c r="Q81" i="47"/>
  <c r="Q7" i="47"/>
  <c r="Q17" i="47"/>
  <c r="Q99" i="47"/>
  <c r="Q47" i="47"/>
  <c r="Q79" i="47"/>
  <c r="Q60" i="47"/>
  <c r="Q26" i="47"/>
  <c r="Q21" i="47"/>
  <c r="Q103" i="47"/>
  <c r="Q61" i="47"/>
  <c r="Q100" i="47"/>
  <c r="Q102" i="47"/>
  <c r="Q30" i="47"/>
  <c r="Q70" i="47"/>
  <c r="Q86" i="47"/>
  <c r="Q48" i="47"/>
  <c r="Q52" i="47"/>
  <c r="Q33" i="47"/>
  <c r="Q85" i="47"/>
  <c r="Q46" i="47"/>
  <c r="Q11" i="47"/>
  <c r="Q36" i="47"/>
  <c r="Q90" i="47"/>
  <c r="Q77" i="47"/>
  <c r="Q84" i="47"/>
  <c r="Q10" i="47"/>
  <c r="Q62" i="47"/>
  <c r="Q101" i="47"/>
  <c r="Q69" i="47"/>
  <c r="Q88" i="47"/>
  <c r="Q72" i="47"/>
  <c r="Q54" i="47"/>
  <c r="Q40" i="47"/>
  <c r="Q63" i="47"/>
  <c r="Q24" i="47"/>
  <c r="Q12" i="47"/>
  <c r="Q104" i="47"/>
  <c r="Q16" i="47"/>
  <c r="Q82" i="47"/>
  <c r="Q71" i="47"/>
  <c r="Q29" i="47"/>
  <c r="Q9" i="47"/>
  <c r="Q89" i="47"/>
  <c r="Q15" i="47"/>
  <c r="Q27" i="47"/>
  <c r="Q5" i="47"/>
  <c r="Q43" i="47"/>
  <c r="Q83" i="47"/>
  <c r="Q37" i="47"/>
  <c r="Q18" i="47"/>
  <c r="Q91" i="47"/>
  <c r="Q57" i="47"/>
  <c r="Q58" i="47"/>
  <c r="Q45" i="47"/>
  <c r="Q8" i="47"/>
  <c r="Q92" i="47"/>
  <c r="G29" i="39"/>
  <c r="G31" i="39" s="1"/>
  <c r="F29" i="39"/>
  <c r="D31" i="39"/>
  <c r="A97" i="47" l="1"/>
  <c r="C97" i="47"/>
  <c r="B97" i="47"/>
  <c r="D97" i="47"/>
  <c r="E97" i="47"/>
  <c r="B73" i="47"/>
  <c r="A73" i="47"/>
  <c r="D73" i="47"/>
  <c r="C73" i="47"/>
  <c r="E73" i="47"/>
  <c r="A53" i="47"/>
  <c r="C53" i="47"/>
  <c r="D53" i="47"/>
  <c r="B53" i="47"/>
  <c r="E53" i="47"/>
  <c r="B19" i="47"/>
  <c r="C19" i="47"/>
  <c r="E19" i="47"/>
  <c r="A19" i="47"/>
  <c r="D19" i="47"/>
  <c r="B65" i="47"/>
  <c r="D65" i="47"/>
  <c r="E65" i="47"/>
  <c r="A65" i="47"/>
  <c r="C65" i="47"/>
  <c r="B23" i="47"/>
  <c r="A23" i="47"/>
  <c r="C23" i="47"/>
  <c r="E23" i="47"/>
  <c r="D23" i="47"/>
  <c r="A66" i="47"/>
  <c r="D66" i="47"/>
  <c r="B66" i="47"/>
  <c r="C66" i="47"/>
  <c r="E66" i="47"/>
  <c r="A67" i="47"/>
  <c r="B67" i="47"/>
  <c r="C67" i="47"/>
  <c r="D67" i="47"/>
  <c r="E67" i="47"/>
  <c r="A87" i="47"/>
  <c r="B87" i="47"/>
  <c r="C87" i="47"/>
  <c r="D87" i="47"/>
  <c r="E87" i="47"/>
  <c r="B80" i="47"/>
  <c r="E80" i="47"/>
  <c r="C80" i="47"/>
  <c r="A80" i="47"/>
  <c r="D80" i="47"/>
  <c r="A31" i="47"/>
  <c r="B31" i="47"/>
  <c r="C31" i="47"/>
  <c r="D31" i="47"/>
  <c r="E31" i="47"/>
  <c r="A68" i="47"/>
  <c r="B68" i="47"/>
  <c r="C68" i="47"/>
  <c r="D68" i="47"/>
  <c r="E68" i="47"/>
  <c r="A39" i="47"/>
  <c r="B39" i="47"/>
  <c r="C39" i="47"/>
  <c r="D39" i="47"/>
  <c r="E39" i="47"/>
  <c r="C28" i="47"/>
  <c r="E28" i="47"/>
  <c r="B28" i="47"/>
  <c r="D28" i="47"/>
  <c r="A28" i="47"/>
  <c r="E93" i="47"/>
  <c r="C93" i="47"/>
  <c r="A93" i="47"/>
  <c r="B93" i="47"/>
  <c r="D93" i="47"/>
  <c r="B78" i="47"/>
  <c r="A78" i="47"/>
  <c r="C78" i="47"/>
  <c r="E78" i="47"/>
  <c r="D78" i="47"/>
  <c r="A41" i="47"/>
  <c r="C41" i="47"/>
  <c r="E41" i="47"/>
  <c r="B41" i="47"/>
  <c r="D41" i="47"/>
  <c r="D55" i="47"/>
  <c r="E55" i="47"/>
  <c r="A55" i="47"/>
  <c r="C55" i="47"/>
  <c r="B55" i="47"/>
  <c r="B35" i="47"/>
  <c r="C35" i="47"/>
  <c r="D35" i="47"/>
  <c r="E35" i="47"/>
  <c r="A35" i="47"/>
  <c r="C44" i="47"/>
  <c r="E44" i="47"/>
  <c r="A44" i="47"/>
  <c r="D44" i="47"/>
  <c r="B44" i="47"/>
  <c r="D49" i="47"/>
  <c r="A49" i="47"/>
  <c r="C49" i="47"/>
  <c r="E49" i="47"/>
  <c r="B49" i="47"/>
  <c r="B51" i="47"/>
  <c r="C51" i="47"/>
  <c r="D51" i="47"/>
  <c r="E51" i="47"/>
  <c r="A51" i="47"/>
  <c r="A20" i="47"/>
  <c r="C20" i="47"/>
  <c r="E20" i="47"/>
  <c r="D20" i="47"/>
  <c r="B20" i="47"/>
  <c r="B59" i="47"/>
  <c r="E59" i="47"/>
  <c r="A59" i="47"/>
  <c r="C59" i="47"/>
  <c r="D59" i="47"/>
  <c r="B64" i="47"/>
  <c r="C64" i="47"/>
  <c r="A64" i="47"/>
  <c r="D64" i="47"/>
  <c r="E64" i="47"/>
  <c r="A25" i="47"/>
  <c r="C25" i="47"/>
  <c r="E25" i="47"/>
  <c r="B25" i="47"/>
  <c r="D25" i="47"/>
  <c r="B50" i="47"/>
  <c r="D50" i="47"/>
  <c r="A50" i="47"/>
  <c r="E50" i="47"/>
  <c r="C50" i="47"/>
  <c r="C98" i="47"/>
  <c r="A98" i="47"/>
  <c r="E98" i="47"/>
  <c r="B98" i="47"/>
  <c r="D98" i="47"/>
  <c r="A74" i="47"/>
  <c r="B74" i="47"/>
  <c r="C74" i="47"/>
  <c r="D74" i="47"/>
  <c r="E74" i="47"/>
  <c r="C76" i="47"/>
  <c r="B76" i="47"/>
  <c r="E76" i="47"/>
  <c r="D76" i="47"/>
  <c r="A76" i="47"/>
  <c r="A13" i="47"/>
  <c r="B13" i="47"/>
  <c r="C13" i="47"/>
  <c r="D13" i="47"/>
  <c r="E13" i="47"/>
  <c r="B32" i="47"/>
  <c r="C32" i="47"/>
  <c r="A32" i="47"/>
  <c r="D32" i="47"/>
  <c r="E32" i="47"/>
  <c r="A14" i="47"/>
  <c r="B14" i="47"/>
  <c r="C14" i="47"/>
  <c r="D14" i="47"/>
  <c r="E14" i="47"/>
  <c r="B94" i="47"/>
  <c r="A94" i="47"/>
  <c r="C94" i="47"/>
  <c r="E94" i="47"/>
  <c r="D94" i="47"/>
  <c r="A75" i="47"/>
  <c r="E75" i="47"/>
  <c r="B75" i="47"/>
  <c r="C75" i="47"/>
  <c r="D75" i="47"/>
  <c r="D6" i="47"/>
  <c r="A6" i="47"/>
  <c r="C6" i="47"/>
  <c r="E6" i="47"/>
  <c r="B6" i="47"/>
  <c r="A34" i="47"/>
  <c r="C34" i="47"/>
  <c r="E34" i="47"/>
  <c r="B34" i="47"/>
  <c r="D34" i="47"/>
  <c r="B56" i="47"/>
  <c r="A56" i="47"/>
  <c r="C56" i="47"/>
  <c r="D56" i="47"/>
  <c r="E56" i="47"/>
  <c r="A38" i="47"/>
  <c r="B38" i="47"/>
  <c r="C38" i="47"/>
  <c r="D38" i="47"/>
  <c r="E38" i="47"/>
  <c r="E96" i="47"/>
  <c r="D96" i="47"/>
  <c r="A96" i="47"/>
  <c r="B96" i="47"/>
  <c r="C96" i="47"/>
  <c r="D22" i="47"/>
  <c r="C22" i="47"/>
  <c r="B22" i="47"/>
  <c r="A22" i="47"/>
  <c r="E22" i="47"/>
  <c r="B42" i="47"/>
  <c r="E42" i="47"/>
  <c r="D42" i="47"/>
  <c r="C42" i="47"/>
  <c r="A42" i="47"/>
  <c r="C95" i="47"/>
  <c r="E95" i="47"/>
  <c r="B95" i="47"/>
  <c r="D95" i="47"/>
  <c r="A95" i="47"/>
  <c r="E81" i="47"/>
  <c r="A81" i="47"/>
  <c r="D81" i="47"/>
  <c r="C81" i="47"/>
  <c r="B81" i="47"/>
  <c r="E7" i="47"/>
  <c r="C7" i="47"/>
  <c r="B7" i="47"/>
  <c r="A7" i="47"/>
  <c r="D7" i="47"/>
  <c r="A17" i="47"/>
  <c r="B17" i="47"/>
  <c r="C17" i="47"/>
  <c r="D17" i="47"/>
  <c r="E17" i="47"/>
  <c r="A99" i="47"/>
  <c r="C99" i="47"/>
  <c r="B99" i="47"/>
  <c r="E99" i="47"/>
  <c r="D99" i="47"/>
  <c r="B47" i="47"/>
  <c r="C47" i="47"/>
  <c r="D47" i="47"/>
  <c r="E47" i="47"/>
  <c r="A47" i="47"/>
  <c r="A79" i="47"/>
  <c r="B79" i="47"/>
  <c r="D79" i="47"/>
  <c r="C79" i="47"/>
  <c r="E79" i="47"/>
  <c r="B60" i="47"/>
  <c r="D60" i="47"/>
  <c r="E60" i="47"/>
  <c r="A60" i="47"/>
  <c r="C60" i="47"/>
  <c r="D26" i="47"/>
  <c r="C26" i="47"/>
  <c r="A26" i="47"/>
  <c r="B26" i="47"/>
  <c r="E26" i="47"/>
  <c r="B21" i="47"/>
  <c r="D21" i="47"/>
  <c r="E21" i="47"/>
  <c r="A21" i="47"/>
  <c r="C21" i="47"/>
  <c r="D103" i="47"/>
  <c r="A103" i="47"/>
  <c r="E103" i="47"/>
  <c r="C103" i="47"/>
  <c r="B103" i="47"/>
  <c r="A61" i="47"/>
  <c r="B61" i="47"/>
  <c r="C61" i="47"/>
  <c r="D61" i="47"/>
  <c r="E61" i="47"/>
  <c r="B100" i="47"/>
  <c r="C100" i="47"/>
  <c r="A100" i="47"/>
  <c r="E100" i="47"/>
  <c r="D100" i="47"/>
  <c r="A102" i="47"/>
  <c r="C102" i="47"/>
  <c r="B102" i="47"/>
  <c r="E102" i="47"/>
  <c r="D102" i="47"/>
  <c r="A30" i="47"/>
  <c r="C30" i="47"/>
  <c r="E30" i="47"/>
  <c r="B30" i="47"/>
  <c r="D30" i="47"/>
  <c r="D70" i="47"/>
  <c r="B70" i="47"/>
  <c r="A70" i="47"/>
  <c r="C70" i="47"/>
  <c r="E70" i="47"/>
  <c r="A86" i="47"/>
  <c r="D86" i="47"/>
  <c r="B86" i="47"/>
  <c r="E86" i="47"/>
  <c r="C86" i="47"/>
  <c r="C48" i="47"/>
  <c r="B48" i="47"/>
  <c r="E48" i="47"/>
  <c r="D48" i="47"/>
  <c r="A48" i="47"/>
  <c r="C52" i="47"/>
  <c r="A52" i="47"/>
  <c r="D52" i="47"/>
  <c r="E52" i="47"/>
  <c r="B52" i="47"/>
  <c r="B33" i="47"/>
  <c r="D33" i="47"/>
  <c r="E33" i="47"/>
  <c r="A33" i="47"/>
  <c r="C33" i="47"/>
  <c r="C85" i="47"/>
  <c r="D85" i="47"/>
  <c r="A85" i="47"/>
  <c r="B85" i="47"/>
  <c r="E85" i="47"/>
  <c r="A46" i="47"/>
  <c r="C46" i="47"/>
  <c r="E46" i="47"/>
  <c r="B46" i="47"/>
  <c r="D46" i="47"/>
  <c r="C11" i="47"/>
  <c r="B11" i="47"/>
  <c r="E11" i="47"/>
  <c r="D11" i="47"/>
  <c r="A11" i="47"/>
  <c r="D36" i="47"/>
  <c r="B36" i="47"/>
  <c r="E36" i="47"/>
  <c r="A36" i="47"/>
  <c r="C36" i="47"/>
  <c r="A90" i="47"/>
  <c r="E90" i="47"/>
  <c r="B90" i="47"/>
  <c r="D90" i="47"/>
  <c r="C90" i="47"/>
  <c r="D77" i="47"/>
  <c r="A77" i="47"/>
  <c r="C77" i="47"/>
  <c r="B77" i="47"/>
  <c r="E77" i="47"/>
  <c r="B84" i="47"/>
  <c r="E84" i="47"/>
  <c r="C84" i="47"/>
  <c r="D84" i="47"/>
  <c r="A84" i="47"/>
  <c r="E10" i="47"/>
  <c r="C10" i="47"/>
  <c r="A10" i="47"/>
  <c r="D10" i="47"/>
  <c r="B10" i="47"/>
  <c r="B62" i="47"/>
  <c r="A62" i="47"/>
  <c r="C62" i="47"/>
  <c r="E62" i="47"/>
  <c r="D62" i="47"/>
  <c r="C101" i="47"/>
  <c r="E101" i="47"/>
  <c r="B101" i="47"/>
  <c r="A101" i="47"/>
  <c r="D101" i="47"/>
  <c r="C69" i="47"/>
  <c r="D69" i="47"/>
  <c r="E69" i="47"/>
  <c r="A69" i="47"/>
  <c r="B69" i="47"/>
  <c r="D88" i="47"/>
  <c r="B88" i="47"/>
  <c r="E88" i="47"/>
  <c r="A88" i="47"/>
  <c r="C88" i="47"/>
  <c r="D72" i="47"/>
  <c r="A72" i="47"/>
  <c r="E72" i="47"/>
  <c r="B72" i="47"/>
  <c r="C72" i="47"/>
  <c r="D54" i="47"/>
  <c r="B54" i="47"/>
  <c r="A54" i="47"/>
  <c r="C54" i="47"/>
  <c r="E54" i="47"/>
  <c r="A40" i="47"/>
  <c r="C40" i="47"/>
  <c r="D40" i="47"/>
  <c r="E40" i="47"/>
  <c r="B40" i="47"/>
  <c r="D63" i="47"/>
  <c r="B63" i="47"/>
  <c r="A63" i="47"/>
  <c r="E63" i="47"/>
  <c r="C63" i="47"/>
  <c r="B24" i="47"/>
  <c r="D24" i="47"/>
  <c r="C24" i="47"/>
  <c r="A24" i="47"/>
  <c r="E24" i="47"/>
  <c r="D12" i="47"/>
  <c r="E12" i="47"/>
  <c r="B12" i="47"/>
  <c r="C12" i="47"/>
  <c r="A12" i="47"/>
  <c r="A104" i="47"/>
  <c r="B104" i="47"/>
  <c r="C104" i="47"/>
  <c r="D104" i="47"/>
  <c r="E104" i="47"/>
  <c r="C16" i="47"/>
  <c r="A16" i="47"/>
  <c r="B16" i="47"/>
  <c r="E16" i="47"/>
  <c r="D16" i="47"/>
  <c r="D82" i="47"/>
  <c r="B82" i="47"/>
  <c r="A82" i="47"/>
  <c r="E82" i="47"/>
  <c r="C82" i="47"/>
  <c r="C71" i="47"/>
  <c r="E71" i="47"/>
  <c r="A71" i="47"/>
  <c r="B71" i="47"/>
  <c r="D71" i="47"/>
  <c r="A29" i="47"/>
  <c r="C29" i="47"/>
  <c r="B29" i="47"/>
  <c r="D29" i="47"/>
  <c r="E29" i="47"/>
  <c r="E9" i="47"/>
  <c r="A9" i="47"/>
  <c r="D9" i="47"/>
  <c r="C9" i="47"/>
  <c r="B9" i="47"/>
  <c r="A89" i="47"/>
  <c r="C89" i="47"/>
  <c r="E89" i="47"/>
  <c r="B89" i="47"/>
  <c r="D89" i="47"/>
  <c r="A15" i="47"/>
  <c r="B15" i="47"/>
  <c r="C15" i="47"/>
  <c r="D15" i="47"/>
  <c r="E15" i="47"/>
  <c r="A27" i="47"/>
  <c r="D27" i="47"/>
  <c r="C27" i="47"/>
  <c r="E27" i="47"/>
  <c r="B27" i="47"/>
  <c r="A5" i="47"/>
  <c r="B5" i="47"/>
  <c r="D5" i="47"/>
  <c r="C5" i="47"/>
  <c r="E5" i="47"/>
  <c r="A43" i="47"/>
  <c r="C43" i="47"/>
  <c r="E43" i="47"/>
  <c r="B43" i="47"/>
  <c r="D43" i="47"/>
  <c r="A83" i="47"/>
  <c r="C83" i="47"/>
  <c r="E83" i="47"/>
  <c r="B83" i="47"/>
  <c r="D83" i="47"/>
  <c r="A37" i="47"/>
  <c r="B37" i="47"/>
  <c r="C37" i="47"/>
  <c r="D37" i="47"/>
  <c r="E37" i="47"/>
  <c r="A18" i="47"/>
  <c r="B18" i="47"/>
  <c r="C18" i="47"/>
  <c r="D18" i="47"/>
  <c r="E18" i="47"/>
  <c r="A91" i="47"/>
  <c r="C91" i="47"/>
  <c r="D91" i="47"/>
  <c r="B91" i="47"/>
  <c r="E91" i="47"/>
  <c r="C57" i="47"/>
  <c r="E57" i="47"/>
  <c r="A57" i="47"/>
  <c r="B57" i="47"/>
  <c r="D57" i="47"/>
  <c r="E58" i="47"/>
  <c r="C58" i="47"/>
  <c r="B58" i="47"/>
  <c r="A58" i="47"/>
  <c r="D58" i="47"/>
  <c r="A45" i="47"/>
  <c r="D45" i="47"/>
  <c r="C45" i="47"/>
  <c r="E45" i="47"/>
  <c r="B45" i="47"/>
  <c r="B8" i="47"/>
  <c r="A8" i="47"/>
  <c r="D8" i="47"/>
  <c r="C8" i="47"/>
  <c r="E8" i="47"/>
  <c r="C92" i="47"/>
  <c r="B92" i="47"/>
  <c r="A92" i="47"/>
  <c r="E92" i="47"/>
  <c r="D92" i="47"/>
  <c r="F31" i="39"/>
  <c r="H29" i="39"/>
  <c r="J29" i="39"/>
  <c r="I29" i="39"/>
  <c r="H8" i="40"/>
  <c r="D19" i="40"/>
  <c r="B8" i="40"/>
  <c r="H97" i="47" l="1"/>
  <c r="I97" i="47"/>
  <c r="H73" i="47"/>
  <c r="I73" i="47"/>
  <c r="I53" i="47"/>
  <c r="H53" i="47"/>
  <c r="I19" i="47"/>
  <c r="H19" i="47"/>
  <c r="I65" i="47"/>
  <c r="H65" i="47"/>
  <c r="I23" i="47"/>
  <c r="H23" i="47"/>
  <c r="H66" i="47"/>
  <c r="I66" i="47"/>
  <c r="H67" i="47"/>
  <c r="I67" i="47"/>
  <c r="H87" i="47"/>
  <c r="I87" i="47"/>
  <c r="I80" i="47"/>
  <c r="H80" i="47"/>
  <c r="I31" i="47"/>
  <c r="H31" i="47"/>
  <c r="H68" i="47"/>
  <c r="I68" i="47"/>
  <c r="H39" i="47"/>
  <c r="I39" i="47"/>
  <c r="H28" i="47"/>
  <c r="I28" i="47"/>
  <c r="H93" i="47"/>
  <c r="I93" i="47"/>
  <c r="H78" i="47"/>
  <c r="I78" i="47"/>
  <c r="H41" i="47"/>
  <c r="I41" i="47"/>
  <c r="H55" i="47"/>
  <c r="I55" i="47"/>
  <c r="H35" i="47"/>
  <c r="I35" i="47"/>
  <c r="H44" i="47"/>
  <c r="I44" i="47"/>
  <c r="H49" i="47"/>
  <c r="I49" i="47"/>
  <c r="H51" i="47"/>
  <c r="I51" i="47"/>
  <c r="H20" i="47"/>
  <c r="I20" i="47"/>
  <c r="I59" i="47"/>
  <c r="H59" i="47"/>
  <c r="I64" i="47"/>
  <c r="H64" i="47"/>
  <c r="H25" i="47"/>
  <c r="I25" i="47"/>
  <c r="H50" i="47"/>
  <c r="I50" i="47"/>
  <c r="H98" i="47"/>
  <c r="I98" i="47"/>
  <c r="H74" i="47"/>
  <c r="I74" i="47"/>
  <c r="H76" i="47"/>
  <c r="I76" i="47"/>
  <c r="I13" i="47"/>
  <c r="H13" i="47"/>
  <c r="H32" i="47"/>
  <c r="I32" i="47"/>
  <c r="I14" i="47"/>
  <c r="H14" i="47"/>
  <c r="I94" i="47"/>
  <c r="H94" i="47"/>
  <c r="H75" i="47"/>
  <c r="I75" i="47"/>
  <c r="I6" i="47"/>
  <c r="H6" i="47"/>
  <c r="I34" i="47"/>
  <c r="H34" i="47"/>
  <c r="H56" i="47"/>
  <c r="I56" i="47"/>
  <c r="I38" i="47"/>
  <c r="H38" i="47"/>
  <c r="H96" i="47"/>
  <c r="I96" i="47"/>
  <c r="H22" i="47"/>
  <c r="I22" i="47"/>
  <c r="H42" i="47"/>
  <c r="I42" i="47"/>
  <c r="H95" i="47"/>
  <c r="I95" i="47"/>
  <c r="H81" i="47"/>
  <c r="I81" i="47"/>
  <c r="H7" i="47"/>
  <c r="I7" i="47"/>
  <c r="I17" i="47"/>
  <c r="H17" i="47"/>
  <c r="H99" i="47"/>
  <c r="I99" i="47"/>
  <c r="H47" i="47"/>
  <c r="I47" i="47"/>
  <c r="I79" i="47"/>
  <c r="H79" i="47"/>
  <c r="H60" i="47"/>
  <c r="I60" i="47"/>
  <c r="H26" i="47"/>
  <c r="I26" i="47"/>
  <c r="I21" i="47"/>
  <c r="H21" i="47"/>
  <c r="I103" i="47"/>
  <c r="H103" i="47"/>
  <c r="I61" i="47"/>
  <c r="H61" i="47"/>
  <c r="I100" i="47"/>
  <c r="H100" i="47"/>
  <c r="H102" i="47"/>
  <c r="I102" i="47"/>
  <c r="H30" i="47"/>
  <c r="I30" i="47"/>
  <c r="I70" i="47"/>
  <c r="H70" i="47"/>
  <c r="H86" i="47"/>
  <c r="I86" i="47"/>
  <c r="I48" i="47"/>
  <c r="H48" i="47"/>
  <c r="I52" i="47"/>
  <c r="H52" i="47"/>
  <c r="H33" i="47"/>
  <c r="I33" i="47"/>
  <c r="H85" i="47"/>
  <c r="I85" i="47"/>
  <c r="H46" i="47"/>
  <c r="I46" i="47"/>
  <c r="H11" i="47"/>
  <c r="I11" i="47"/>
  <c r="H36" i="47"/>
  <c r="I36" i="47"/>
  <c r="H90" i="47"/>
  <c r="I90" i="47"/>
  <c r="H77" i="47"/>
  <c r="I77" i="47"/>
  <c r="H84" i="47"/>
  <c r="I84" i="47"/>
  <c r="H10" i="47"/>
  <c r="I10" i="47"/>
  <c r="H62" i="47"/>
  <c r="I62" i="47"/>
  <c r="H101" i="47"/>
  <c r="I101" i="47"/>
  <c r="H69" i="47"/>
  <c r="I69" i="47"/>
  <c r="H88" i="47"/>
  <c r="I88" i="47"/>
  <c r="H72" i="47"/>
  <c r="I72" i="47"/>
  <c r="H54" i="47"/>
  <c r="I54" i="47"/>
  <c r="I40" i="47"/>
  <c r="H40" i="47"/>
  <c r="H63" i="47"/>
  <c r="I63" i="47"/>
  <c r="H24" i="47"/>
  <c r="I24" i="47"/>
  <c r="H12" i="47"/>
  <c r="I12" i="47"/>
  <c r="I104" i="47"/>
  <c r="H104" i="47"/>
  <c r="H16" i="47"/>
  <c r="I16" i="47"/>
  <c r="I82" i="47"/>
  <c r="H82" i="47"/>
  <c r="I71" i="47"/>
  <c r="H71" i="47"/>
  <c r="H29" i="47"/>
  <c r="I29" i="47"/>
  <c r="H9" i="47"/>
  <c r="I9" i="47"/>
  <c r="I89" i="47"/>
  <c r="H89" i="47"/>
  <c r="I15" i="47"/>
  <c r="H15" i="47"/>
  <c r="H27" i="47"/>
  <c r="I27" i="47"/>
  <c r="I5" i="47"/>
  <c r="H5" i="47"/>
  <c r="H43" i="47"/>
  <c r="I43" i="47"/>
  <c r="H83" i="47"/>
  <c r="I83" i="47"/>
  <c r="I37" i="47"/>
  <c r="H37" i="47"/>
  <c r="H18" i="47"/>
  <c r="I18" i="47"/>
  <c r="H91" i="47"/>
  <c r="I91" i="47"/>
  <c r="H57" i="47"/>
  <c r="I57" i="47"/>
  <c r="H58" i="47"/>
  <c r="I58" i="47"/>
  <c r="I45" i="47"/>
  <c r="H45" i="47"/>
  <c r="H8" i="47"/>
  <c r="I8" i="47"/>
  <c r="H92" i="47"/>
  <c r="I92" i="47"/>
  <c r="H31" i="39"/>
  <c r="K8" i="40" s="1"/>
  <c r="L29" i="39"/>
  <c r="J31" i="39"/>
  <c r="D21" i="40" s="1"/>
  <c r="I31" i="39"/>
  <c r="K29" i="39"/>
  <c r="K31" i="39" l="1"/>
  <c r="I5" i="40" s="1"/>
  <c r="B47" i="40"/>
  <c r="C45" i="40"/>
  <c r="B39" i="40"/>
  <c r="C33" i="40"/>
  <c r="C51" i="40"/>
  <c r="C36" i="40"/>
  <c r="C56" i="40"/>
  <c r="B57" i="40"/>
  <c r="B40" i="40"/>
  <c r="B55" i="40"/>
  <c r="C31" i="40"/>
  <c r="C34" i="40"/>
  <c r="C52" i="40"/>
  <c r="B42" i="40"/>
  <c r="B53" i="40"/>
  <c r="B32" i="40"/>
  <c r="B54" i="40"/>
  <c r="B37" i="40"/>
  <c r="B45" i="40"/>
  <c r="B58" i="40"/>
  <c r="B31" i="40"/>
  <c r="B38" i="40"/>
  <c r="B34" i="40"/>
  <c r="L31" i="39"/>
  <c r="B35" i="40"/>
  <c r="B48" i="40"/>
  <c r="C43" i="40"/>
  <c r="C47" i="40"/>
  <c r="C53" i="40"/>
  <c r="C57" i="40"/>
  <c r="C58" i="40"/>
  <c r="C49" i="40"/>
  <c r="C55" i="40"/>
  <c r="C42" i="40"/>
  <c r="C41" i="40"/>
  <c r="B51" i="40"/>
  <c r="B41" i="40"/>
  <c r="B46" i="40"/>
  <c r="B36" i="40"/>
  <c r="B56" i="40"/>
  <c r="B44" i="40"/>
  <c r="B33" i="40"/>
  <c r="C54" i="40"/>
  <c r="C39" i="40"/>
  <c r="C40" i="40"/>
  <c r="C35" i="40"/>
  <c r="C37" i="40"/>
  <c r="C46" i="40"/>
  <c r="C48" i="40"/>
  <c r="B43" i="40"/>
  <c r="B52" i="40"/>
  <c r="B50" i="40"/>
  <c r="B49" i="40"/>
  <c r="C38" i="40"/>
  <c r="C32" i="40"/>
  <c r="C44" i="40"/>
  <c r="C50" i="40"/>
  <c r="E8" i="40"/>
  <c r="B13" i="40"/>
  <c r="D54" i="40" l="1"/>
  <c r="L54" i="40"/>
  <c r="E54" i="40"/>
  <c r="F54" i="40"/>
  <c r="G54" i="40"/>
  <c r="H54" i="40"/>
  <c r="I54" i="40"/>
  <c r="J54" i="40"/>
  <c r="K54" i="40"/>
  <c r="D45" i="40"/>
  <c r="E45" i="40"/>
  <c r="F45" i="40"/>
  <c r="G45" i="40"/>
  <c r="H45" i="40"/>
  <c r="I45" i="40"/>
  <c r="J45" i="40"/>
  <c r="K45" i="40"/>
  <c r="L45" i="40" s="1"/>
  <c r="F33" i="40"/>
  <c r="E33" i="40"/>
  <c r="J33" i="40"/>
  <c r="I33" i="40"/>
  <c r="K33" i="40"/>
  <c r="L33" i="40" s="1"/>
  <c r="H33" i="40"/>
  <c r="G33" i="40"/>
  <c r="D33" i="40"/>
  <c r="D31" i="40"/>
  <c r="K31" i="40"/>
  <c r="L31" i="40" s="1"/>
  <c r="F31" i="40"/>
  <c r="E31" i="40"/>
  <c r="I31" i="40"/>
  <c r="H31" i="40"/>
  <c r="G31" i="40"/>
  <c r="J31" i="40"/>
  <c r="E34" i="40"/>
  <c r="F34" i="40"/>
  <c r="I34" i="40"/>
  <c r="H34" i="40"/>
  <c r="D34" i="40"/>
  <c r="J34" i="40"/>
  <c r="K34" i="40"/>
  <c r="L34" i="40" s="1"/>
  <c r="G34" i="40"/>
  <c r="I43" i="40"/>
  <c r="K43" i="40"/>
  <c r="L43" i="40" s="1"/>
  <c r="E43" i="40"/>
  <c r="H43" i="40"/>
  <c r="J43" i="40"/>
  <c r="D43" i="40"/>
  <c r="F43" i="40"/>
  <c r="G43" i="40"/>
  <c r="F47" i="40"/>
  <c r="G47" i="40"/>
  <c r="E47" i="40"/>
  <c r="H47" i="40"/>
  <c r="I47" i="40"/>
  <c r="J47" i="40"/>
  <c r="K47" i="40"/>
  <c r="L47" i="40" s="1"/>
  <c r="D47" i="40"/>
  <c r="G41" i="40"/>
  <c r="F41" i="40"/>
  <c r="I41" i="40"/>
  <c r="K41" i="40"/>
  <c r="L41" i="40" s="1"/>
  <c r="J41" i="40"/>
  <c r="D41" i="40"/>
  <c r="E41" i="40"/>
  <c r="H41" i="40"/>
  <c r="E40" i="40"/>
  <c r="K40" i="40"/>
  <c r="L40" i="40" s="1"/>
  <c r="F40" i="40"/>
  <c r="D40" i="40"/>
  <c r="H40" i="40"/>
  <c r="I40" i="40"/>
  <c r="G40" i="40"/>
  <c r="J40" i="40"/>
  <c r="I35" i="40"/>
  <c r="K35" i="40"/>
  <c r="L35" i="40" s="1"/>
  <c r="J35" i="40"/>
  <c r="D35" i="40"/>
  <c r="E35" i="40"/>
  <c r="F35" i="40"/>
  <c r="G35" i="40"/>
  <c r="H35" i="40"/>
  <c r="H37" i="40"/>
  <c r="D37" i="40"/>
  <c r="H32" i="40"/>
  <c r="I32" i="40"/>
  <c r="F32" i="40"/>
  <c r="J32" i="40"/>
  <c r="D32" i="40"/>
  <c r="K32" i="40"/>
  <c r="L32" i="40" s="1"/>
  <c r="G32" i="40"/>
  <c r="E32" i="40"/>
  <c r="L51" i="40"/>
  <c r="D51" i="40"/>
  <c r="E51" i="40"/>
  <c r="F51" i="40"/>
  <c r="G51" i="40"/>
  <c r="H51" i="40"/>
  <c r="I51" i="40"/>
  <c r="J51" i="40"/>
  <c r="K51" i="40"/>
  <c r="K36" i="40"/>
  <c r="L36" i="40" s="1"/>
  <c r="E36" i="40"/>
  <c r="J36" i="40"/>
  <c r="G36" i="40"/>
  <c r="I36" i="40"/>
  <c r="F36" i="40"/>
  <c r="D36" i="40"/>
  <c r="H36" i="40"/>
  <c r="J56" i="40"/>
  <c r="K56" i="40"/>
  <c r="I56" i="40"/>
  <c r="H56" i="40"/>
  <c r="G56" i="40"/>
  <c r="F56" i="40"/>
  <c r="E56" i="40"/>
  <c r="D56" i="40"/>
  <c r="L56" i="40"/>
  <c r="J52" i="40"/>
  <c r="I52" i="40"/>
  <c r="F52" i="40"/>
  <c r="D52" i="40"/>
  <c r="K52" i="40"/>
  <c r="L52" i="40"/>
  <c r="E52" i="40"/>
  <c r="G52" i="40"/>
  <c r="H52" i="40"/>
  <c r="G53" i="40"/>
  <c r="H53" i="40"/>
  <c r="I53" i="40"/>
  <c r="J53" i="40"/>
  <c r="K53" i="40"/>
  <c r="D53" i="40"/>
  <c r="L53" i="40"/>
  <c r="E53" i="40"/>
  <c r="F53" i="40"/>
  <c r="I57" i="40"/>
  <c r="J57" i="40"/>
  <c r="K57" i="40"/>
  <c r="H57" i="40"/>
  <c r="G57" i="40"/>
  <c r="F57" i="40"/>
  <c r="E57" i="40"/>
  <c r="D57" i="40"/>
  <c r="L57" i="40"/>
  <c r="K58" i="40"/>
  <c r="H58" i="40"/>
  <c r="L58" i="40"/>
  <c r="E58" i="40"/>
  <c r="D58" i="40"/>
  <c r="F58" i="40"/>
  <c r="J58" i="40"/>
  <c r="I58" i="40"/>
  <c r="G58" i="40"/>
  <c r="L49" i="40"/>
  <c r="D49" i="40"/>
  <c r="E49" i="40"/>
  <c r="F49" i="40"/>
  <c r="G49" i="40"/>
  <c r="H49" i="40"/>
  <c r="I49" i="40"/>
  <c r="J49" i="40"/>
  <c r="K49" i="40"/>
  <c r="G55" i="40"/>
  <c r="K55" i="40"/>
  <c r="I55" i="40"/>
  <c r="H55" i="40"/>
  <c r="F55" i="40"/>
  <c r="E55" i="40"/>
  <c r="D55" i="40"/>
  <c r="L55" i="40"/>
  <c r="J55" i="40"/>
  <c r="G42" i="40"/>
  <c r="J42" i="40"/>
  <c r="E42" i="40"/>
  <c r="F42" i="40"/>
  <c r="H42" i="40"/>
  <c r="I42" i="40"/>
  <c r="K42" i="40"/>
  <c r="L42" i="40" s="1"/>
  <c r="D42" i="40"/>
  <c r="K39" i="40"/>
  <c r="L39" i="40" s="1"/>
  <c r="D39" i="40"/>
  <c r="J39" i="40"/>
  <c r="I39" i="40"/>
  <c r="F39" i="40"/>
  <c r="G39" i="40"/>
  <c r="E39" i="40"/>
  <c r="H39" i="40"/>
  <c r="J37" i="40"/>
  <c r="G37" i="40"/>
  <c r="I37" i="40"/>
  <c r="F37" i="40"/>
  <c r="E37" i="40"/>
  <c r="K37" i="40"/>
  <c r="L37" i="40" s="1"/>
  <c r="F46" i="40"/>
  <c r="G46" i="40"/>
  <c r="D46" i="40"/>
  <c r="E46" i="40"/>
  <c r="H46" i="40"/>
  <c r="J46" i="40"/>
  <c r="I46" i="40"/>
  <c r="K46" i="40"/>
  <c r="L46" i="40" s="1"/>
  <c r="G48" i="40"/>
  <c r="E48" i="40"/>
  <c r="J48" i="40"/>
  <c r="H48" i="40"/>
  <c r="F48" i="40"/>
  <c r="D48" i="40"/>
  <c r="I48" i="40"/>
  <c r="K48" i="40"/>
  <c r="L48" i="40" s="1"/>
  <c r="G38" i="40"/>
  <c r="H38" i="40"/>
  <c r="E38" i="40"/>
  <c r="I38" i="40"/>
  <c r="D38" i="40"/>
  <c r="F38" i="40"/>
  <c r="K38" i="40"/>
  <c r="L38" i="40" s="1"/>
  <c r="J38" i="40"/>
  <c r="H44" i="40"/>
  <c r="J44" i="40"/>
  <c r="K44" i="40"/>
  <c r="L44" i="40" s="1"/>
  <c r="E44" i="40"/>
  <c r="F44" i="40"/>
  <c r="I44" i="40"/>
  <c r="D44" i="40"/>
  <c r="G44" i="40"/>
  <c r="I50" i="40"/>
  <c r="K50" i="40"/>
  <c r="D50" i="40"/>
  <c r="L50" i="40"/>
  <c r="E50" i="40"/>
  <c r="F50" i="40"/>
  <c r="G50" i="40"/>
  <c r="J50" i="40"/>
  <c r="H50" i="40"/>
</calcChain>
</file>

<file path=xl/sharedStrings.xml><?xml version="1.0" encoding="utf-8"?>
<sst xmlns="http://schemas.openxmlformats.org/spreadsheetml/2006/main" count="4226" uniqueCount="2544">
  <si>
    <t>(OSH &amp; Environmental Legal Requirement Identification)</t>
  </si>
  <si>
    <t>A. Workforce &amp; Organization Profile</t>
  </si>
  <si>
    <t>1. Total number of workers (including subcontractors if applicable)</t>
  </si>
  <si>
    <t>Less than 4</t>
  </si>
  <si>
    <t>5 – 39</t>
  </si>
  <si>
    <t>40 – 99</t>
  </si>
  <si>
    <t>100 persons and above</t>
  </si>
  <si>
    <t>Yes</t>
  </si>
  <si>
    <t>No</t>
  </si>
  <si>
    <t>Hostels / Dormitories</t>
  </si>
  <si>
    <t>Office buildings</t>
  </si>
  <si>
    <t>Shops / Retail</t>
  </si>
  <si>
    <t>Factories</t>
  </si>
  <si>
    <t>Assembly premises</t>
  </si>
  <si>
    <t>Storage or warehouse</t>
  </si>
  <si>
    <t>Underground car park</t>
  </si>
  <si>
    <t>Air compressor / Air receiver</t>
  </si>
  <si>
    <t xml:space="preserve"> Hoist / Lift / Crane</t>
  </si>
  <si>
    <t xml:space="preserve"> Generator set</t>
  </si>
  <si>
    <t xml:space="preserve"> Diesel storage tank</t>
  </si>
  <si>
    <t xml:space="preserve"> Scheduled waste store</t>
  </si>
  <si>
    <t>Chimney / Stack</t>
  </si>
  <si>
    <t>Steam boiler</t>
  </si>
  <si>
    <t>Wastewater treatment plant</t>
  </si>
  <si>
    <t>Sewage treatment plant</t>
  </si>
  <si>
    <t>Water system / septic tank</t>
  </si>
  <si>
    <t>Industrial vehicles / forklifts</t>
  </si>
  <si>
    <t>Cooling tower</t>
  </si>
  <si>
    <t>Pressure vessels</t>
  </si>
  <si>
    <t>LPG storage</t>
  </si>
  <si>
    <t>Risk Assessment</t>
  </si>
  <si>
    <t>Documented (SOP / Procedure)</t>
  </si>
  <si>
    <t>Record Keeping</t>
  </si>
  <si>
    <t>Monitoring &amp; Measurement</t>
  </si>
  <si>
    <t>PPE</t>
  </si>
  <si>
    <t>Supervision</t>
  </si>
  <si>
    <t>Onsite Control</t>
  </si>
  <si>
    <t>Onsite Action Control</t>
  </si>
  <si>
    <t>Communication</t>
  </si>
  <si>
    <t>Facilities Maintenance</t>
  </si>
  <si>
    <t>Assessment</t>
  </si>
  <si>
    <t>Medical Surveillance</t>
  </si>
  <si>
    <t>Audit / Inspection</t>
  </si>
  <si>
    <t>Legal Register &amp; Compliance Review</t>
  </si>
  <si>
    <t>Registration / Notification</t>
  </si>
  <si>
    <t>Competency / Personal Certificate</t>
  </si>
  <si>
    <t>Stakeholder / Public Engagement</t>
  </si>
  <si>
    <t>Incident / Accident Reporting &amp; Investigation</t>
  </si>
  <si>
    <t>Applicability</t>
  </si>
  <si>
    <t>Permit</t>
  </si>
  <si>
    <t>License</t>
  </si>
  <si>
    <t>Approval</t>
  </si>
  <si>
    <t>Certificate</t>
  </si>
  <si>
    <t>Annual Reporting</t>
  </si>
  <si>
    <t>Emergency Preparedness</t>
  </si>
  <si>
    <t>Supervision, Training &amp; Instruction</t>
  </si>
  <si>
    <t>Calibration of Device</t>
  </si>
  <si>
    <t>Means of Compliance</t>
  </si>
  <si>
    <t>Section 15 - Ensure workplace, systems, equipment and environment are safe and without risk to employees</t>
  </si>
  <si>
    <t>Section 15 - Provide safe use, handling, storage and transport of plant and substances</t>
  </si>
  <si>
    <t>Section 15 - Provide information, instruction, training and supervision to employees</t>
  </si>
  <si>
    <t>Section 15 - Maintain workplace, access and egress in safe condition</t>
  </si>
  <si>
    <t>Section 15 - Provide safe working environment with adequate welfare facilities</t>
  </si>
  <si>
    <t>Section 15 - Establish emergency procedures for workplace incidents</t>
  </si>
  <si>
    <t>Section 16 - Establish and implement a written OSH policy and communicate to employees</t>
  </si>
  <si>
    <t>Section 17 - Ensure activities do not expose non-employees to safety and health risks</t>
  </si>
  <si>
    <t>Section 17 - Provide relevant safety information to affected persons</t>
  </si>
  <si>
    <t>Section 18 - Ensure premises, access, plant and substances are safe for non-employees</t>
  </si>
  <si>
    <t>Section 18A - Ensure contractors and subcontractors comply with safety and health requirements</t>
  </si>
  <si>
    <t>Section 18B - Conduct and implement risk assessment at workplace</t>
  </si>
  <si>
    <t>Section 20 - Ensure plant is safe when designed, manufactured or supplied for use at work</t>
  </si>
  <si>
    <t>Section 21 - Ensure substances are safe when used, handled, stored or transported</t>
  </si>
  <si>
    <t>Section 24 - Ensure employees take reasonable care for safety and health of themselves and others</t>
  </si>
  <si>
    <t>Section 25 - Do not interfere or misuse safety equipment provided</t>
  </si>
  <si>
    <t>Section 30 - Establish Safety and Health Committee where required</t>
  </si>
  <si>
    <t>Section 33 - Participate in inquiry when directed by authority</t>
  </si>
  <si>
    <t>Investigation</t>
  </si>
  <si>
    <t>Reg 4 – Appoint competent noise risk assessor and conduct noise risk assessment with report</t>
  </si>
  <si>
    <t>Reg 4 – Inform employees on assessment results and implement control actions within required timeline</t>
  </si>
  <si>
    <t>Reg 4 – Review noise risk assessment at least every 5 years or when changes occur</t>
  </si>
  <si>
    <t>Reg 5 – Provide information, instruction, training and supervision on noise exposure and hearing protection</t>
  </si>
  <si>
    <t>Reg 6 – Ensure employee noise exposure does not exceed permissible limits</t>
  </si>
  <si>
    <t>Reg 6 – Implement control measures (engineering, administrative or PPE) to reduce noise exposure</t>
  </si>
  <si>
    <t>Reg 6 – Maintain effectiveness of engineering controls implemented</t>
  </si>
  <si>
    <t>Reg 7 – Provide suitable, approved and maintained hearing protection equipment</t>
  </si>
  <si>
    <t>Reg 8 – Establish and clearly mark hearing protection zones with signage</t>
  </si>
  <si>
    <t>Reg 8 – Ensure use of hearing protection in designated zones</t>
  </si>
  <si>
    <t>Reg 9 – Conduct annual audiometric testing for exposed employees</t>
  </si>
  <si>
    <t>Reg 9 – Appoint approved audiometric testing centre and occupational health doctor</t>
  </si>
  <si>
    <t>Reg 9 – Notify authority and take action if hearing loss is detected</t>
  </si>
  <si>
    <t>Reg 10 – Ensure audiometric test conducted within required timeframe and conditions</t>
  </si>
  <si>
    <t>Reg 11 – Maintain records of noise risk assessment and audiometric reports for required period</t>
  </si>
  <si>
    <t>Regulation 4 – Employer must comply with SHC regulations and ensure implementation</t>
  </si>
  <si>
    <t>Regulation 5 – Establish safety &amp; health committee with proper representation</t>
  </si>
  <si>
    <t>Regulation 6 – Appoint chairman and secretary for the committee</t>
  </si>
  <si>
    <t>Regulation 7 – Appoint worker representatives into committee</t>
  </si>
  <si>
    <t>Regulation 8 – Ensure worker representatives cover all work areas</t>
  </si>
  <si>
    <t>Regulation 11 – Develop safe work systems and review OSH programs</t>
  </si>
  <si>
    <t>Regulation 12 – Conduct workplace inspection at least every 3 months</t>
  </si>
  <si>
    <t>Regulation 13 – Investigate accidents, near misses and occupational illness</t>
  </si>
  <si>
    <t>Regulation 14 – Take action on committee recommendations and keep reports (7 years)</t>
  </si>
  <si>
    <t>Regulation 15 – Review reports, audit findings and OSH information</t>
  </si>
  <si>
    <t>Regulation 16 – Establish system for workers to report OSH complaints</t>
  </si>
  <si>
    <t>Regulation 17 – Take action to resolve complaints and implement control measures</t>
  </si>
  <si>
    <t>Regulation 18 – Conduct OSH promotion activities (talks, campaigns)</t>
  </si>
  <si>
    <t>Regulation 19 – Develop and implement OSH rules and procedures</t>
  </si>
  <si>
    <t>Regulation 20 – Establish sub-committee if required</t>
  </si>
  <si>
    <t>Regulation 21 – Conduct SHC meetings at least once every 3 months</t>
  </si>
  <si>
    <t>Regulation 22 – Provide facilities and allow attendance for meetings</t>
  </si>
  <si>
    <t>Regulation 23 – Conduct initial meeting and communicate OSH policy</t>
  </si>
  <si>
    <t>Regulation 26 – Discuss only OSH matters in meetings</t>
  </si>
  <si>
    <t>Regulation 27 – Prepare and retain meeting minutes (7 years)</t>
  </si>
  <si>
    <t>Regulation 28 – Ensure committee members understand their roles</t>
  </si>
  <si>
    <t>Regulation 29 – Provide adequate OSH training to committee members</t>
  </si>
  <si>
    <t>Regulation 30 – Provide relevant OSH documents and information</t>
  </si>
  <si>
    <t>Section / Requirement</t>
  </si>
  <si>
    <t>Section 18 – Obtain written approval before constructing prescribed premises or installing pollution control equipment</t>
  </si>
  <si>
    <t>Permit / Approval</t>
  </si>
  <si>
    <t>Section 19 – Do not operate prescribed premises without a valid license</t>
  </si>
  <si>
    <t>Section 20 – Comply with conditions imposed in license or approval</t>
  </si>
  <si>
    <t>Section 21 – Comply with emission standards set by the authority</t>
  </si>
  <si>
    <t>Section 22 – Do not emit pollutants exceeding prescribed limits into atmosphere</t>
  </si>
  <si>
    <t>Section 23 – Prevent pollution of inland waters beyond allowable limits</t>
  </si>
  <si>
    <t>Section 24 – Do not discharge wastes into Malaysian waters without control</t>
  </si>
  <si>
    <t>Section 25 – Control oil discharge into Malaysian waters</t>
  </si>
  <si>
    <t>Section 27 – Ensure proper handling and control of scheduled wastes</t>
  </si>
  <si>
    <t>Section 29A – Conduct Environmental Impact Assessment (EIA) for prescribed activities before project implementation</t>
  </si>
  <si>
    <t>Section 29AA – Appoint qualified person for EIA preparation (if applicable)</t>
  </si>
  <si>
    <t>Section 30 – Install and maintain pollution control equipment as required</t>
  </si>
  <si>
    <t>Section 31 – Provide information, data or samples when required by authority</t>
  </si>
  <si>
    <t>Section 33 – Notify authority of accidental discharge or pollution incident</t>
  </si>
  <si>
    <t>Section 34A – Ensure EIA approval obtained before starting project</t>
  </si>
  <si>
    <t>Section 34B – Manage scheduled wastes according to legal requirements (generation, storage, transport, disposal)</t>
  </si>
  <si>
    <t>Section 34C – Do not place scheduled waste in unauthorized premises</t>
  </si>
  <si>
    <t>Section 34D – Engage licensed contractor for scheduled waste handling and disposal</t>
  </si>
  <si>
    <t>Section 34E – Maintain inventory and records of scheduled wastes</t>
  </si>
  <si>
    <t>Section 36 – Comply with prohibition notices or orders issued by authority</t>
  </si>
  <si>
    <t>Section 37 – Allow inspection and access to premises by authority</t>
  </si>
  <si>
    <t>Section 38 – Provide assistance during inspection or investigation</t>
  </si>
  <si>
    <t>Section 43 – Ensure proper operation and maintenance of equipment to prevent pollution</t>
  </si>
  <si>
    <t>Section 47 – Take preventive measures to avoid environmental pollution</t>
  </si>
  <si>
    <t>Section 48 – Implement emergency response for pollution incidents</t>
  </si>
  <si>
    <t>Section 49 – Notify authority on environmental emergency or accident</t>
  </si>
  <si>
    <t>Section 51 – Ensure employees are trained and competent in environmental control practices</t>
  </si>
  <si>
    <t>Reg 4 - Comply with all Clean Air Regulations requirements at the premises.</t>
  </si>
  <si>
    <t>Reg 5 - Notify DOE on any activity or change that may affect air emission.</t>
  </si>
  <si>
    <t>Reg 6 - Take necessary measures to reduce air pollutant emissions from operations.</t>
  </si>
  <si>
    <t>Reg 7 - Install and operate air pollution control system effectively.</t>
  </si>
  <si>
    <t>Reg 8 - Take immediate action when pollution control system fails.</t>
  </si>
  <si>
    <t>Reg 9 - Monitor performance of air pollution control system regularly.</t>
  </si>
  <si>
    <t>Reg 10 - Maintain records of emissions, monitoring and system operation.</t>
  </si>
  <si>
    <t>Reg 11 - Inform DOE if there is any change in premises ownership or occupancy.</t>
  </si>
  <si>
    <t>Reg 12 - Ensure smoke opacity is within permitted limits.</t>
  </si>
  <si>
    <t>Reg 13 - Ensure emissions comply with prescribed limits and standards.</t>
  </si>
  <si>
    <t>Reg 14 - Do not dilute emissions to meet compliance limits.</t>
  </si>
  <si>
    <t>Reg 15 - Control and minimise emission of hazardous air pollutants.</t>
  </si>
  <si>
    <t>Reg 16 - Conduct periodic emission monitoring as required.</t>
  </si>
  <si>
    <t>Reg 17 - Install and operate continuous emission monitoring system if required.</t>
  </si>
  <si>
    <t>Reg 18 - Submit emission data and reports to DOE as required.</t>
  </si>
  <si>
    <t>Reg 19 - Provide access and assistance to DOE during inspection.</t>
  </si>
  <si>
    <t>Reg 20 - Take action and notify DOE during equipment failure or emergency emission.</t>
  </si>
  <si>
    <t>Reg 21 - Report and control any accidental air pollutant release.</t>
  </si>
  <si>
    <t>Reg 22 - Install and operate equipment as directed by Director General.</t>
  </si>
  <si>
    <t>Reg 23 - Conduct emission sampling using approved methods.</t>
  </si>
  <si>
    <t>Reg 24 - Comply with any prohibition order issued by DOE.</t>
  </si>
  <si>
    <t>Reg 25 - Obtain licence if emissions exceed acceptable conditions.</t>
  </si>
  <si>
    <t>Reg 26 - Follow required actions stated in schedules for specific activities.</t>
  </si>
  <si>
    <t>Reg 28 - Do not submit false or misleading information to DOE.</t>
  </si>
  <si>
    <t>Regulation 3 - Ensure operation of transfer station or landfill does not cause pollution to air, water, soil or nuisance</t>
  </si>
  <si>
    <t>Regulation 4 - Notify authority before establishing new discharge source or facility</t>
  </si>
  <si>
    <t>Regulation 5 - Operate and maintain facility to prevent pollution and environmental impact</t>
  </si>
  <si>
    <t>Regulation 6 - Install and operate landfill gas collection and control system</t>
  </si>
  <si>
    <t>Regulation 7 - Control groundwater contamination and implement monitoring programme</t>
  </si>
  <si>
    <t>Regulation 8 - Monitor leachate discharge according to standards and requirements</t>
  </si>
  <si>
    <t>Regulation 9 - Do not operate without proper leachate treatment system</t>
  </si>
  <si>
    <t>Regulation 10 - Ensure leachate treatment system is properly designed and operated</t>
  </si>
  <si>
    <t>Regulation 11 - Conduct performance monitoring of leachate treatment system</t>
  </si>
  <si>
    <t>Regulation 12 - Ensure leachate treatment system is supervised by competent person</t>
  </si>
  <si>
    <t>Regulation 13 - Do not discharge leachate exceeding permitted limits</t>
  </si>
  <si>
    <t>Regulation 14 - Obtain written approval for leachate discharge licence and comply with conditions</t>
  </si>
  <si>
    <t>Regulation 15 - Comply with licence conditions related to leachate discharge</t>
  </si>
  <si>
    <t>Regulation 16 - Follow approved method for leachate sampling and analysis</t>
  </si>
  <si>
    <t>Regulation 17 - Do not discharge leachate through bypass or unauthorized route</t>
  </si>
  <si>
    <t>Regulation 18 - Do not discharge untreated or partially treated leachate</t>
  </si>
  <si>
    <t>Regulation 19 - Report any spillage, leakage or accidental discharge immediately and take action</t>
  </si>
  <si>
    <t>Regulation 20 - Do not make any modification that affects leachate quality without approval</t>
  </si>
  <si>
    <t>Regulation 21 - Notify authority of any changes in submitted information</t>
  </si>
  <si>
    <t>Regulation 23 - Inform authority of any change in ownership or operation</t>
  </si>
  <si>
    <t>Regulation 24 - Maintain records on monitoring, operation, and environmental control</t>
  </si>
  <si>
    <t>Regulation 25 - Ensure staff are trained and competent in environmental management</t>
  </si>
  <si>
    <t>Regulation 26 - Provide cooperation and assistance during inspection by authority</t>
  </si>
  <si>
    <t>Regulation 3 – Ensure diesel engine emissions do not exceed permitted smoke limits.</t>
  </si>
  <si>
    <t>Regulation 4 – Ensure vehicles and machinery are maintained to minimize smoke emission.</t>
  </si>
  <si>
    <t>Regulation 5 – Do not operate any diesel engine that emits excessive black smoke.</t>
  </si>
  <si>
    <t>Regulation 6 – Ensure proper tuning and servicing of diesel engines to control emissions.</t>
  </si>
  <si>
    <t>Regulation 7 – Conduct periodic inspection and emission testing using approved methods.</t>
  </si>
  <si>
    <t>Regulation 8 – Ensure use of proper fuel and combustion system to reduce emissions.</t>
  </si>
  <si>
    <t>Regulation 9 – Ensure operators are aware of emission control requirements.</t>
  </si>
  <si>
    <t>Regulation 10 – Maintain records of maintenance, inspection, and emission testing.</t>
  </si>
  <si>
    <t>Regulation 11 – Measure smoke emission using approved smoke meter units or equivalent (% / other units).</t>
  </si>
  <si>
    <t>Regulation 12 – Ensure smoke emission does not exceed prescribed limit (e.g. 50 HSU or equivalent).</t>
  </si>
  <si>
    <t>Regulation 13 – Ensure diesel engines are not modified in a way that increases emissions.</t>
  </si>
  <si>
    <t>Regulation 14 – Take corrective action immediately if emission exceeds allowable limits.</t>
  </si>
  <si>
    <t>Regulation 15 – Ensure compliance is periodically reviewed and updated.</t>
  </si>
  <si>
    <t>Regulation 3 – Ensure all activities involving hazardous refrigerants in equipment or systems comply with this regulation.</t>
  </si>
  <si>
    <t>Regulation 4 – Do not use environmentally harmful refrigerants in any new installation or equipment.</t>
  </si>
  <si>
    <t>Regulation 5(1) – Ensure only trained personnel handle refrigerants and use approved recovery/recycling machines.</t>
  </si>
  <si>
    <t>Regulation 6 – Do not release refrigerants into the atmosphere without prior written approval.</t>
  </si>
  <si>
    <t>Regulation 7(1) – Do not export hazardous refrigerants without written approval from authority.</t>
  </si>
  <si>
    <t>Regulation 8 – Use only approved alternative refrigerants that meet environmental and safety criteria.</t>
  </si>
  <si>
    <t>Regulation 9(1) – Ensure personnel involved in retrofit activities attend proper training programs.</t>
  </si>
  <si>
    <t>Regulation 9(2) – Ensure personnel understand system design and function during retrofit training.</t>
  </si>
  <si>
    <t>Regulation 10 – Provide technical expertise and support when required for refrigerant-related programs.</t>
  </si>
  <si>
    <t>Regulation 3 - Notify DOE within 30 days of any new category and quantity of scheduled waste generated.</t>
  </si>
  <si>
    <t>Regulation 4 - Dispose scheduled waste only at prescribed premises.</t>
  </si>
  <si>
    <t>Regulation 5 - Treat scheduled waste only at prescribed premises or approved on-site treatment facility.</t>
  </si>
  <si>
    <t>Regulation 6 - Recover material or product from scheduled waste only at prescribed premises or approved on-site recovery facility.</t>
  </si>
  <si>
    <t>Regulation 7 - Apply in writing to DOE for special management of scheduled waste when required.</t>
  </si>
  <si>
    <t>Regulation 8 - Ensure scheduled waste is properly stored, treated, recovered or delivered to prescribed premises, and is properly packaged, labelled and transported.</t>
  </si>
  <si>
    <t>Regulation 9 - Store scheduled waste in compatible, durable, closed containers and in properly designed storage areas to prevent spill or leakage.</t>
  </si>
  <si>
    <t>Regulation 9 - Store scheduled waste on site for not more than 180 days and not more than 20 metric tonnes unless written approval is obtained.</t>
  </si>
  <si>
    <t>Regulation 10 - Label each scheduled waste container with generation date, generator details, waste code and hazard label.</t>
  </si>
  <si>
    <t>Regulation 11 - Keep accurate and up-to-date inventory of scheduled waste generated, treated, disposed or recovered for at least 3 years.</t>
  </si>
  <si>
    <t>Regulation 12 - Complete and keep consignment note records for scheduled waste movement and submit required copy to DOE.</t>
  </si>
  <si>
    <t>Regulation 12 - Notify DOE immediately if the final signed copy of the consignment note is not received within 30 days and investigate the matter.</t>
  </si>
  <si>
    <t>Regulation 13 - Provide Seventh Schedule information for each scheduled waste transported outside the premises.</t>
  </si>
  <si>
    <t>Regulation 14 - In case of spill or accidental discharge, support clean-up and provide technical assistance as required.</t>
  </si>
  <si>
    <t>Regulation 15 - Ensure all employees involved in scheduled waste management attend training.</t>
  </si>
  <si>
    <t>Regulation 3 - Ensure fuel used in operations (vehicles, machinery, plant) complies with applicable petrol and diesel regulations.</t>
  </si>
  <si>
    <t>Regulation 4(1) - Ensure all petrol and diesel produced, stored, transported, supplied or used comply with prescribed standards.</t>
  </si>
  <si>
    <t>Regulation 4(3) - Do not produce, store, transport, supply or sell non-compliant fuel.</t>
  </si>
  <si>
    <t>Regulation 5(2) - Allow authorised officers to access premises, records and fuel samples for inspection.</t>
  </si>
  <si>
    <t>Regulation 6(1) - Ensure fuel sampling and testing are conducted using approved methods.</t>
  </si>
  <si>
    <t>Regulation 7(1) - Conduct sampling and testing for each batch of fuel after production, blending or import.</t>
  </si>
  <si>
    <t>Regulation 7(3) - Maintain records of fuel sampling, testing results, and test methods used.</t>
  </si>
  <si>
    <t>Regulation 7(6) - Retain fuel samples and records for at least 6 months.</t>
  </si>
  <si>
    <t>Regulation 7(7) - Submit fuel samples and records when requested by authority.</t>
  </si>
  <si>
    <t>Regulation 8(1) - Establish a quality management system to ensure fuel complies with required standards.</t>
  </si>
  <si>
    <t>Regulation 8(2) - Document and submit quality management system to authority and update when changes occur.</t>
  </si>
  <si>
    <t>Regulation 9(1) - Comply with any prohibition or instruction issued by authority regarding non-compliant fuel.</t>
  </si>
  <si>
    <t>Regulation 9(2) - Stop operation or supply activities when directed by authority due to non-compliance.</t>
  </si>
  <si>
    <t>Reg 2 - Ensure hazardous chemicals supplied are covered under CLASS requirements for workplace use</t>
  </si>
  <si>
    <t>Reg 4 - Classify chemicals based on hazard before supply</t>
  </si>
  <si>
    <t>Reg 5 - Maintain record of chemical classification</t>
  </si>
  <si>
    <t>Reg 6 - Ensure hazardous chemicals are properly packaged</t>
  </si>
  <si>
    <t>Reg 7 - Ensure chemical packaging is sealed properly</t>
  </si>
  <si>
    <t>Inspection</t>
  </si>
  <si>
    <t>Reg 8 - Ensure hazardous chemicals are labelled with hazard information</t>
  </si>
  <si>
    <t>Reg 9 - Ensure hazard pictograms meet required format</t>
  </si>
  <si>
    <t>Reg 10 - Ensure correct hazard pictograms and statements</t>
  </si>
  <si>
    <t>Reg 11 - Ensure label size meets required dimension</t>
  </si>
  <si>
    <t>Reg 12 - Ensure labels are properly affixed</t>
  </si>
  <si>
    <t>Reg 13 - Provide Safety Data Sheet (SDS)</t>
  </si>
  <si>
    <t>Reg 13(2) - Ensure SDS contains complete information</t>
  </si>
  <si>
    <t>Reg 13(4) - Review and update SDS periodically</t>
  </si>
  <si>
    <t>Reg 14 - Prepare hazardous chemical inventory</t>
  </si>
  <si>
    <t>Reg 14(2) - Submit chemical inventory annually</t>
  </si>
  <si>
    <t>Reg 14(5) - Maintain chemical inventory properly</t>
  </si>
  <si>
    <t>Reg 15 - Protect confidential chemical information</t>
  </si>
  <si>
    <t>Regulation 3 - Apply these regulations to all workplaces under employer control.</t>
  </si>
  <si>
    <t>Regulation 5 - Notify and report any accident or dangerous occurrence to authority within required time.</t>
  </si>
  <si>
    <t>Regulation 7 - Report any occupational poisoning or occupational disease to authority.</t>
  </si>
  <si>
    <t>Regulation 9 - Do not disturb accident or dangerous occurrence site unless necessary for safety or rescue.</t>
  </si>
  <si>
    <t>Regulation 10 - Record and maintain a register of all accidents, dangerous occurrences, poisoning and diseases.</t>
  </si>
  <si>
    <t>Regulation 10(2) - Keep records at workplace or office for at least 5 years.</t>
  </si>
  <si>
    <t>Regulation 10(3) - Submit annual summary of records to authority before 31 January each year.</t>
  </si>
  <si>
    <t>Regulation 11 - Provide additional information to authority when requested.</t>
  </si>
  <si>
    <t>Occupational Safety and Health (Use and Exposure Standards of Hazardous Chemical to Health) Regulations 2000</t>
  </si>
  <si>
    <t>Occupational Safety and Health (Safety and Health Committee) Regulations 1996</t>
  </si>
  <si>
    <t>Occupational Safety and Health (Notification of Accident, Dangerous Occurrence, Occupational Poisoning and Occupational Disease) Regulations 2004</t>
  </si>
  <si>
    <t>Occupational Safety and Health (Classification, Labelling and Safety Data Sheet of Hazardous Chemicals) Regulations 2013</t>
  </si>
  <si>
    <t>Occupational Safety and Health (Noise Exposure) Regulations 2019</t>
  </si>
  <si>
    <t>Reg 3 – Identify if employees are exposed to excessive noise at workplace and review periodically (Annually re-identify)</t>
  </si>
  <si>
    <t>NRA</t>
  </si>
  <si>
    <t>Occupational Safety and Health (Construction Work) (Design and Management) Regulations 2024</t>
  </si>
  <si>
    <t>Reg. 3 – Ensure plant requiring Certificate of Fitness (CF) is identified and registered with DOSH.</t>
  </si>
  <si>
    <t>Reg. 4 – Obtain Certificate of Fitness before operating any prescribed plant.</t>
  </si>
  <si>
    <t>Reg. 5 – Ensure CF is valid and renewed before expiry.</t>
  </si>
  <si>
    <t>Reg. 6 – Ensure plant is inspected by authorized inspector before CF issuance or renewal.</t>
  </si>
  <si>
    <t>Reg. 7 – Do not operate plant without valid CF.</t>
  </si>
  <si>
    <t>Reg. 8 – Maintain plant in safe condition at all times.</t>
  </si>
  <si>
    <t>Reg. 9 – Ensure competent person operates and maintains the plant.</t>
  </si>
  <si>
    <t>Reg. 10 – Keep inspection and maintenance records of plant.</t>
  </si>
  <si>
    <t>Reg. 11 – Display valid CF at plant location.</t>
  </si>
  <si>
    <t>Reg. 12 – Notify DOSH for any modification affecting plant safety.</t>
  </si>
  <si>
    <t>Reg. 13 – Conduct risk assessment before operation of plant.</t>
  </si>
  <si>
    <t>Reg. 14 – Ensure safety devices and control systems are functional.</t>
  </si>
  <si>
    <t>Reg. 15 – Stop operation if plant is unsafe or defective.</t>
  </si>
  <si>
    <t>Reg. 16 – Report any accident or dangerous occurrence involving plant.</t>
  </si>
  <si>
    <t>Reg. 17 – Ensure periodic testing and calibration of safety devices.</t>
  </si>
  <si>
    <t>Reg. 18 – Provide safe access and working condition around plant.</t>
  </si>
  <si>
    <t>Reg. 19 – Ensure emergency procedures are established for plant failure.</t>
  </si>
  <si>
    <t>Reg. 20 – Provide training to employees handling certified plant.</t>
  </si>
  <si>
    <t>Reg. 21 – Ensure proper documentation and compliance review is conducted periodically.</t>
  </si>
  <si>
    <t>Occupational Safety and Health (Plant Requiring Certificate of Fitness) Regulations 2024</t>
  </si>
  <si>
    <t>Environmental Quality Act 1974 </t>
  </si>
  <si>
    <t xml:space="preserve"> Environmental Quality (Control of Petrol and Diesel Content) 2007 (Amendment) Regulations 2021 </t>
  </si>
  <si>
    <t xml:space="preserve">Environmental Quality (Scheduled Wastes) Regulations 2005 </t>
  </si>
  <si>
    <t>Environmental Quality Control (Emissions From Diesel Engines) (Amendment) Regulations 2000</t>
  </si>
  <si>
    <t>Environmental Quality (Pollution Control from Solid Waste Transfer Stations and Landfills) Regulations 2009</t>
  </si>
  <si>
    <t>Environmental Quality (Clean Air) Regulations 2014</t>
  </si>
  <si>
    <t>Occupational Safety and Health Act 1994</t>
  </si>
  <si>
    <t>Environmental Quality (Refrigerant Management) Regulations 1999</t>
  </si>
  <si>
    <t>Section 29A - Appointment of OSH Coordinator at workplace</t>
  </si>
  <si>
    <t>3. Employment of foreign workers</t>
  </si>
  <si>
    <t>Applicable</t>
  </si>
  <si>
    <t>Section 26A -Right of employee from imminent danger</t>
  </si>
  <si>
    <t>List of Competency to align with Section 31 OSHA</t>
  </si>
  <si>
    <t>Section 31 - ensure the functions of safety and health committee</t>
  </si>
  <si>
    <t>Section 31A - Attend OSH Course by registred training provider</t>
  </si>
  <si>
    <t>Section 31B - Carry the duty of competent person according to Schedule 5</t>
  </si>
  <si>
    <t>Section 26 - No chargeable to employees for things done or provided</t>
  </si>
  <si>
    <t>Sec 1.5.1(a) – Provide and maintain safe plant, vehicles, and work systems</t>
  </si>
  <si>
    <t>Sec 1.5.1(b) – Ensure safe handling, storage and transport of equipment and substances</t>
  </si>
  <si>
    <t>Sec 1.5.1(c) – Provide information, instruction, training and supervision to workers</t>
  </si>
  <si>
    <t>Sec 1.5.1(d) – Maintain workplace and access/egress in safe condition</t>
  </si>
  <si>
    <t>Sec 1.5.1(e) – Provide safe working environment with adequate welfare facilities</t>
  </si>
  <si>
    <t>Monitoring</t>
  </si>
  <si>
    <t>Sec 16 – Establish and communicate safety and health policy</t>
  </si>
  <si>
    <t>Sec 17 – Ensure safety of non-employees (public, passengers, visitors)</t>
  </si>
  <si>
    <t>2.4 – Conduct hazard identification, risk assessment and control (HIRARC)</t>
  </si>
  <si>
    <t>2.5 – Provide continuous safety and health training</t>
  </si>
  <si>
    <t>2.7 – Maintain OSH documentation and records</t>
  </si>
  <si>
    <t>2.8 – Establish emergency response plan</t>
  </si>
  <si>
    <t>2.10 – Conduct periodic OSH audit</t>
  </si>
  <si>
    <t>3.1 – Verify driver competency, record and health before hiring</t>
  </si>
  <si>
    <t>3.4 – Implement driving procedures and checklist</t>
  </si>
  <si>
    <t>3.5 – Control driving hours and rest periods</t>
  </si>
  <si>
    <t>3.8 – Ensure driver health, fitness and welfare</t>
  </si>
  <si>
    <t>Medical Checkup</t>
  </si>
  <si>
    <t>4.1 – Conduct daily vehicle inspection before and after use</t>
  </si>
  <si>
    <t>Inspection Checklist</t>
  </si>
  <si>
    <t>4.2 – Record and report vehicle faults</t>
  </si>
  <si>
    <t>Record System</t>
  </si>
  <si>
    <t>4.3 – Implement preventive maintenance and inspection plan</t>
  </si>
  <si>
    <t>Maintenance Plan</t>
  </si>
  <si>
    <t>4.7 – Ensure valid vehicle license and documentation</t>
  </si>
  <si>
    <t>Compliance Check</t>
  </si>
  <si>
    <t>5.1 – Conduct HIRARC for transport and journey activities</t>
  </si>
  <si>
    <t>5.5 – Monitor trips using logbook or tracking system</t>
  </si>
  <si>
    <t>Monitoring System</t>
  </si>
  <si>
    <t>5.8 – Report and investigate accidents and incidents</t>
  </si>
  <si>
    <t>Occupational Safety And Health Industry Code of Practice for Road Transport Activities 2010</t>
  </si>
  <si>
    <t>Regulation 3 – Ensure sewage discharge complies with prescribed standards at all times</t>
  </si>
  <si>
    <t>Regulation 4 – Do not discharge sewage without approval from authority</t>
  </si>
  <si>
    <t>Regulation 5 – Install and operate sewage treatment system properly before discharge</t>
  </si>
  <si>
    <t>Regulation 6 – Ensure sewage treatment plant is properly maintained and functional</t>
  </si>
  <si>
    <t>Regulation 7 – Conduct regular inspection of sewage system and equipment</t>
  </si>
  <si>
    <t>Regulation 8 – Keep records of sewage discharge quality and monitoring results</t>
  </si>
  <si>
    <t>Regulation 9 – Ensure sampling and testing of effluent is carried out as required</t>
  </si>
  <si>
    <t>Regulation 10 – Appoint competent person to manage sewage treatment system (if required)</t>
  </si>
  <si>
    <t>Regulation 11 – Submit required reports on sewage discharge to authority</t>
  </si>
  <si>
    <t>Regulation 12 – Ensure no leakage, overflow or environmental contamination occurs</t>
  </si>
  <si>
    <t>Regulation 13 – Take immediate action in case of sewage system failure or pollution</t>
  </si>
  <si>
    <t>Regulation 14 – Ensure proper sludge handling and disposal from sewage treatment</t>
  </si>
  <si>
    <t>Regulation 15 – Ensure calibration of monitoring equipment used for sewage testing</t>
  </si>
  <si>
    <t>Regulation 16 – Ensure workers handling sewage are trained and aware of procedures</t>
  </si>
  <si>
    <t>Regulation 17 – Prevent unauthorised discharge or bypass of sewage treatment system</t>
  </si>
  <si>
    <t>Regulation 18 – Maintain proper documentation for system operation and maintenance</t>
  </si>
  <si>
    <t>Regulation 19 – Conduct periodic compliance review of sewage management system</t>
  </si>
  <si>
    <t>Reg. 3 - Ensure industrial effluent is treated before discharge to meet standards.</t>
  </si>
  <si>
    <t>Reg. 4 - Comply with Standard A or B discharge limits based on location.</t>
  </si>
  <si>
    <t>Reg. 5 - Prohibit discharge of untreated or partially treated effluent.</t>
  </si>
  <si>
    <t>Reg. 6 - Install and operate an approved Industrial Effluent Treatment System (IETS).</t>
  </si>
  <si>
    <t>Reg. 7 - Ensure IETS is properly designed and constructed to DOE requirements.</t>
  </si>
  <si>
    <t>Reg. 8 - Appoint a competent person to operate and supervise IETS.</t>
  </si>
  <si>
    <t>Reg. 9 - Maintain proper operation and performance of IETS at all times.</t>
  </si>
  <si>
    <t>Reg. 10 - Conduct regular inspection and maintenance of IETS.</t>
  </si>
  <si>
    <t>Reg. 11 - Provide adequate holding tanks to prevent accidental discharge.</t>
  </si>
  <si>
    <t>Reg. 12 - Install flow meter and sampling point for effluent monitoring.</t>
  </si>
  <si>
    <t>Reg. 13 - Ensure monitoring equipment is calibrated and functioning properly.</t>
  </si>
  <si>
    <t>Reg. 14 - Carry out periodic sampling and analysis of effluent quality.</t>
  </si>
  <si>
    <t>Reg. 15 - Submit effluent monitoring reports to DOE as required.</t>
  </si>
  <si>
    <t>Reg. 16 - Notify DOE immediately in case of non-compliance or system failure.</t>
  </si>
  <si>
    <t>Reg. 17 - Prevent spillage or leakage of industrial effluent.</t>
  </si>
  <si>
    <t>Reg. 18 - Ensure proper storage and handling of chemicals used in treatment.</t>
  </si>
  <si>
    <t>Reg. 19 - Keep records of operation, maintenance and monitoring activities.</t>
  </si>
  <si>
    <t>Reg. 20 - Ensure sludge from IETS is properly managed and disposed.</t>
  </si>
  <si>
    <t>Reg. 21 - Prohibit discharge of effluent containing prohibited substances.</t>
  </si>
  <si>
    <t>Reg. 22 - Ensure no bypass or illegal discharge of effluent system.</t>
  </si>
  <si>
    <t>Reg. 23 - Provide training to personnel handling effluent treatment.</t>
  </si>
  <si>
    <t>Reg. 24 - Allow inspection and audit by DOE officers.</t>
  </si>
  <si>
    <t>Reg. 25 - Establish emergency response for effluent system failure.</t>
  </si>
  <si>
    <t>Environmental Quality (Industrial Effluent) Regulations 2009</t>
  </si>
  <si>
    <t>Section 8 – Abate fire hazard as instructed by Fire Department notice.</t>
  </si>
  <si>
    <t>Section 10 – Comply with fire hazard abatement notice within specified time.</t>
  </si>
  <si>
    <t>Section 22 – Provide adequate water supply for firefighting when required.</t>
  </si>
  <si>
    <t>Section 23 – Notify authority before any work affecting fire hydrant.</t>
  </si>
  <si>
    <t>Section 26 – Do not misuse, damage or block fire hydrants.</t>
  </si>
  <si>
    <t>Section 27A – Establish fire safety organization in designated premises.</t>
  </si>
  <si>
    <t>Section 28 – Ensure fire certificate is obtained for designated premises.</t>
  </si>
  <si>
    <t>Section 29 – Apply and maintain valid fire certificate with required conditions.</t>
  </si>
  <si>
    <t>Section 32 – Notify authority before any modification affecting fire safety system.</t>
  </si>
  <si>
    <t>Section 32(4) – Upgrade fire protection system if found inadequate.</t>
  </si>
  <si>
    <t>Section 33 – Do not operate designated premises without fire certificate.</t>
  </si>
  <si>
    <t>Section 35 – Stop or restrict use of premises if fire risk is high.</t>
  </si>
  <si>
    <t>Section 35A – Immediately stop dangerous activities causing fire risk.</t>
  </si>
  <si>
    <t>Section 38 – Allow inspection by Fire Department officers.</t>
  </si>
  <si>
    <t>Section 41 – Provide information/documents during investigation.</t>
  </si>
  <si>
    <t>Section 51 – Do not obstruct fire officers during duties.</t>
  </si>
  <si>
    <t>Section 52 – Follow directions given by Fire Officers.</t>
  </si>
  <si>
    <t>Section 55 – Do not misuse or tamper with fire alarm system.</t>
  </si>
  <si>
    <t>Section 56 – Do not give false fire alarm or report.</t>
  </si>
  <si>
    <t>Section 57 – Company management responsible for offences (corporate liability).</t>
  </si>
  <si>
    <t>Section 61A – Immediately report any fire incident to nearest fire station.</t>
  </si>
  <si>
    <t>Section 2 (Amendment) – Conduct fire risk analysis for premises with fire hazards.</t>
  </si>
  <si>
    <t>Section 4dc – Establish private fire brigade if required by authority.</t>
  </si>
  <si>
    <t>Section 36c – Fire risk analysis report must be prepared by registered consultant.</t>
  </si>
  <si>
    <t>Section 36d – Fire protection systems must be installed/serviced by registered competent person.</t>
  </si>
  <si>
    <t>Section 36e – Fire safety training must be conducted by registered training provider.</t>
  </si>
  <si>
    <t>Section 36k – Only registered fire safety equipment can be installed or used.</t>
  </si>
  <si>
    <t>Procurement Control</t>
  </si>
  <si>
    <t>Section 36l – Apply for certification/approval of fire safety equipment if required.</t>
  </si>
  <si>
    <t>Section 14 – Construct sewerage system according to authority requirements when required to be part of public system.</t>
  </si>
  <si>
    <t>Section 15 – Ensure proper operation, maintenance, and upkeep of public sewerage system where applicable.</t>
  </si>
  <si>
    <t>Section 16 – Ensure sewerage systems are properly cleared, cleaned, and maintained.</t>
  </si>
  <si>
    <t>Section 17 – Ensure proper drainage system is installed and connected to sewerage system.</t>
  </si>
  <si>
    <t>Section 18 – Do not connect or modify sewer connection without prior approval.</t>
  </si>
  <si>
    <t>Section 19 – Do not discharge industrial effluent or harmful substances into public sewer without approval.</t>
  </si>
  <si>
    <t>Section 20 – Repair and compensate for any damage caused to sewerage system.</t>
  </si>
  <si>
    <t>Section 23 – Ensure private sewerage system is maintained in good condition as required.</t>
  </si>
  <si>
    <t>Section 24 – Connect premises to public sewerage system when required by authority.</t>
  </si>
  <si>
    <t>Section 25 – Maintain septic tank and ensure proper cleaning by licensed contractor.</t>
  </si>
  <si>
    <t>Section 26 – Ensure sewerage system does not cause nuisance or health hazard.</t>
  </si>
  <si>
    <t>Section 30 – Pay sewerage charges, fees or levy as required.</t>
  </si>
  <si>
    <t>Statutory Contribution</t>
  </si>
  <si>
    <t>Section 31 – Obtain approval before constructing sewerage system or septic tank.</t>
  </si>
  <si>
    <t>Section 32 – Obtain licence before operating, maintaining, or providing sewerage services.</t>
  </si>
  <si>
    <t>Section 34 – Ensure efficient, safe and proper operation of sewerage services.</t>
  </si>
  <si>
    <t>Section 36 – Comply with any notice issued by authority within specified time.</t>
  </si>
  <si>
    <t>Section 44 – Ensure obligations and liabilities are fulfilled before property transfer.</t>
  </si>
  <si>
    <t>SEWERAGE SERVICES ACT 1993</t>
  </si>
  <si>
    <t>Rule 4 – Ensure sewerage planning and design are prepared and submitted by competent person</t>
  </si>
  <si>
    <t>Rule 4 – Ensure construction works are carried out by permit holders and supervised by competent person</t>
  </si>
  <si>
    <t>Rule 6 – Prepare sewerage planning in accordance with guidelines, standards and catchment plan</t>
  </si>
  <si>
    <t>Rule 7 – Apply for approval of sewerage planning before construction</t>
  </si>
  <si>
    <t>Rule 8 – Resubmit amended sewerage planning within specified timeline if required</t>
  </si>
  <si>
    <t>Rule 9 – Obtain approval of sewerage planning before proceeding</t>
  </si>
  <si>
    <t>Rule 10 – Ensure sewerage planning approval validity is maintained or extended before expiry</t>
  </si>
  <si>
    <t>Rule 12 – Submit design for approval based on approved sewerage planning</t>
  </si>
  <si>
    <t>Rule 13 – Amend and resubmit design when instructed by authority within timeline</t>
  </si>
  <si>
    <t>Rule 15 – Ensure design approval validity is maintained before expiry</t>
  </si>
  <si>
    <t>Rule 16 – Commence construction only after design approval is valid</t>
  </si>
  <si>
    <t>Rule 17 – Ensure construction complies with approved planning, design and guidelines</t>
  </si>
  <si>
    <t>Rule 18 – Allow inspection and carry out rectification as instructed</t>
  </si>
  <si>
    <t>Rule 19 – Provide samples for testing when required by authority</t>
  </si>
  <si>
    <t>Rule 20 – Notify authority before commencement of sewerage works</t>
  </si>
  <si>
    <t>Rule 21 – Notify authority before laying open works for inspection</t>
  </si>
  <si>
    <t>Rule 22 – Notify authority before commencement of septic tank works</t>
  </si>
  <si>
    <t>Rule 24 – Notify and arrange intermediate inspection and ensure compliance during inspection</t>
  </si>
  <si>
    <t>Rule 25 – Notify final inspection and ensure rectification of non-compliance</t>
  </si>
  <si>
    <t>Rule 26 – Surrender land and way leave after completion of sewerage works</t>
  </si>
  <si>
    <t>Rule 27 – Obtain letter of confirmation / certificate of compliance after completion</t>
  </si>
  <si>
    <t>Rule 28 – Hand over sewerage system to service licensee after completion</t>
  </si>
  <si>
    <t>Rule 29 – Ensure operation and maintenance condition before handover</t>
  </si>
  <si>
    <t>Rule 30 – Provide defects liability guarantee and rectify defects within period</t>
  </si>
  <si>
    <t>Rule 31 – Ensure competent person takes responsibility for design, construction and performance</t>
  </si>
  <si>
    <t>Rule 32 – Ensure planning, design and supervision comply with Act, guidelines and standards</t>
  </si>
  <si>
    <t>Rule 33 – Notify change of competent person and appoint replacement</t>
  </si>
  <si>
    <t>Rule 34 – Ensure competent person is responsible for defects and system performance</t>
  </si>
  <si>
    <t>Rule 35 – Pay fees for sewerage planning approval</t>
  </si>
  <si>
    <t>Rule 36 – Pay fees for design approval</t>
  </si>
  <si>
    <t>Rule 37 – Pay fees for commencement of sewerage works</t>
  </si>
  <si>
    <t>Water Services Industry (Planning, Design and Construction of Sewerage System and Septic Tank) Rules. 2013</t>
  </si>
  <si>
    <t>Section 4 – Ensure sewerage planning, design and works are prepared, submitted and supervised by competent person.</t>
  </si>
  <si>
    <t>Section 4 – Ensure sewerage works are carried out by permit holders and follow approved plans.</t>
  </si>
  <si>
    <t>Section 4 – Ensure development follows approved sewerage development plan.</t>
  </si>
  <si>
    <t>Section 5 – Comply with planning procedures and environmental discharge requirements set by authority.</t>
  </si>
  <si>
    <t>Section 6 – Prepare sewerage planning in accordance with guidelines, standards and catchment requirements.</t>
  </si>
  <si>
    <t>Section 7 – Submit application for sewerage planning approval with complete documents.</t>
  </si>
  <si>
    <t>Section 8 – Amend and resubmit sewerage planning when required by authority.</t>
  </si>
  <si>
    <t>Section 9 – Comply with conditions imposed in approved sewerage planning.</t>
  </si>
  <si>
    <t>Section 10 – Ensure sewerage planning approval validity is maintained or renewed.</t>
  </si>
  <si>
    <t>Section 12 – Submit design for approval based on approved sewerage planning.</t>
  </si>
  <si>
    <t>Section 13 – Amend and resubmit design when required by authority.</t>
  </si>
  <si>
    <t>Section 15 – Ensure design approval validity is maintained or renewed.</t>
  </si>
  <si>
    <t>Section 16 – Commence construction only after approved design is obtained.</t>
  </si>
  <si>
    <t>Section 17 – Ensure construction complies with approved design, guidelines and standards.</t>
  </si>
  <si>
    <t>Section 18 – Allow authority to inspect sewerage works and rectify any non-compliance.</t>
  </si>
  <si>
    <t>Section 19 – Allow sampling and testing of construction materials when required.</t>
  </si>
  <si>
    <t>Section 20 – Notify authority before commencement of sewerage works.</t>
  </si>
  <si>
    <t>Section 21 – Notify authority before carrying out open works for inspection access.</t>
  </si>
  <si>
    <t>Section 22 – Notify authority before commencement of septic tank works.</t>
  </si>
  <si>
    <t>Section 24 – Notify authority for intermediate inspection and ensure compliance during inspection.</t>
  </si>
  <si>
    <t>Section 25 – Notify authority for final inspection and rectify any defects identified.</t>
  </si>
  <si>
    <t>Section 26 – Ensure compliance before surrendering sewerage system to authority.</t>
  </si>
  <si>
    <t>Section 27 – Obtain letter of confirmation for completed sewerage works.</t>
  </si>
  <si>
    <t>Section 28 – Handover sewerage system to service licensee after compliance verification.</t>
  </si>
  <si>
    <t>Section 29 – Ensure system is properly operated and maintained before handover.</t>
  </si>
  <si>
    <t>Section 30 – Provide defect liability guarantee and rectify defects within liability period.</t>
  </si>
  <si>
    <t>Section 31 – Competent person responsible for supervision, construction and performance of works.</t>
  </si>
  <si>
    <t>Section 32 – Ensure accuracy of documents, records and compliance with approved plans.</t>
  </si>
  <si>
    <t>Section 32 – Ensure construction complies with approved planning, design and standards.</t>
  </si>
  <si>
    <t>Section 33 – Notify authority when there is a change of competent person.</t>
  </si>
  <si>
    <t>Section 34 – Ensure competent person accountable for defects and failures in system.</t>
  </si>
  <si>
    <t>Section 35 – Pay fees for sewerage planning approval.</t>
  </si>
  <si>
    <t>Section 36 – Pay fees for design approval.</t>
  </si>
  <si>
    <t>Section 37 – Pay fees for commencement of sewerage works.</t>
  </si>
  <si>
    <t>Water Services Industry Act 2006</t>
  </si>
  <si>
    <t>Section 7 – Ensure all pesticides used or supplied are registered with authority</t>
  </si>
  <si>
    <t>Supplier verification procedure, approved pesticide list, label checking</t>
  </si>
  <si>
    <t>Section 8 – Do not import or manufacture unregistered pesticides</t>
  </si>
  <si>
    <t>Import control SOP, supplier approval process, documentation review</t>
  </si>
  <si>
    <t>Section 13 – Ensure pesticides are properly labelled with required information</t>
  </si>
  <si>
    <t>Label inspection checklist, incoming goods verification</t>
  </si>
  <si>
    <t>Section 14 – Do not alter or falsify pesticide labels or packaging</t>
  </si>
  <si>
    <t>SOP on handling packaging, supervision of repacking activities</t>
  </si>
  <si>
    <t>Section 15 – Store pesticides safely to prevent contamination and risk</t>
  </si>
  <si>
    <t>Chemical storage SOP, segregation practice, inspection checklist</t>
  </si>
  <si>
    <t>Section 16 – Ensure pesticides are packed in approved containers</t>
  </si>
  <si>
    <t>Procurement control, supplier specification compliance</t>
  </si>
  <si>
    <t>Section 17 – Use pesticides according to approved instructions and conditions</t>
  </si>
  <si>
    <t>Work instruction (application method), training records</t>
  </si>
  <si>
    <t>Section 20 – Do not sell or supply pesticides without proper authorization</t>
  </si>
  <si>
    <t>Vendor authorization check, licensing verification</t>
  </si>
  <si>
    <t>Section 21 – Ensure safe transport and handling of pesticides</t>
  </si>
  <si>
    <t>Transportation SOP, hazard communication, handling training</t>
  </si>
  <si>
    <t>Section 22 – Prevent unsafe disposal of pesticides and containers</t>
  </si>
  <si>
    <t>Waste management SOP, disposal records, contractor control</t>
  </si>
  <si>
    <t>Section 23 – Ensure pesticides are not used in a manner harmful to health or environment</t>
  </si>
  <si>
    <t>HIRARC / risk assessment, exposure control measures</t>
  </si>
  <si>
    <t>Section 24 – Maintain records related to pesticide use and handling</t>
  </si>
  <si>
    <t>Usage logbook, inventory records, audit trail</t>
  </si>
  <si>
    <t>Section 25 – Allow inspection and provide information to authorities when required</t>
  </si>
  <si>
    <t>Compliance audit SOP, document availability system</t>
  </si>
  <si>
    <t>Section 26 – Do not obstruct enforcement officers during inspection</t>
  </si>
  <si>
    <t>Awareness training, compliance communication</t>
  </si>
  <si>
    <t>Section 30 – Ensure employees handling pesticides are properly trained and competent</t>
  </si>
  <si>
    <t>Training matrix, competency records, certification tracking</t>
  </si>
  <si>
    <t>Section 31 – Take precautions to protect workers from pesticide exposure</t>
  </si>
  <si>
    <t>PPE program, exposure control measures, supervision</t>
  </si>
  <si>
    <t>Section 32 – Report any incidents or poisoning related to pesticide use</t>
  </si>
  <si>
    <t>Incident reporting SOP, investigation records</t>
  </si>
  <si>
    <t>Regulation 3 – Ensure pesticide is not sold unless it has a compliant label</t>
  </si>
  <si>
    <t>Compliance with labelling requirements before sale</t>
  </si>
  <si>
    <t>Regulation 4 – Ensure label contains all required product information (name, formulation, usage, content, active ingredients, registration details)</t>
  </si>
  <si>
    <t>Label design control and verification process</t>
  </si>
  <si>
    <t>Regulation 4(f) – Provide poisoning symptoms and first aid instructions on label</t>
  </si>
  <si>
    <t>Health &amp; safety information included in label</t>
  </si>
  <si>
    <t>Regulation 4(g) – Display name and address of registered company on label</t>
  </si>
  <si>
    <t>Maintain registered company details</t>
  </si>
  <si>
    <t>Regulation 4(h) – Indicate manufacturing date on label</t>
  </si>
  <si>
    <t>Batch tracking and production records</t>
  </si>
  <si>
    <t>Regulation 4(i) – Display official pesticide registration number on label</t>
  </si>
  <si>
    <t>Verification against registration certificate</t>
  </si>
  <si>
    <t>Regulation 4(j) – Display pesticide class, colour band, warning and caution statements correctly</t>
  </si>
  <si>
    <t>Label classification and hazard communication control</t>
  </si>
  <si>
    <t>Regulation 5 – Ensure colour band size and symbol requirements are followed</t>
  </si>
  <si>
    <t>Label specification and inspection</t>
  </si>
  <si>
    <t>Regulation 6 – Clearly print pesticide class on label</t>
  </si>
  <si>
    <t>Label approval and verification</t>
  </si>
  <si>
    <t>Regulation 7 – Include required warning and precaution statements in required languages</t>
  </si>
  <si>
    <t>Hazard communication compliance</t>
  </si>
  <si>
    <t>Regulation 8 – Provide clear instructions for safe and effective use on label</t>
  </si>
  <si>
    <t>Usage instruction validation</t>
  </si>
  <si>
    <t>Regulation 9 – Ensure label is clear, visible and easy to read</t>
  </si>
  <si>
    <t>Label quality inspection</t>
  </si>
  <si>
    <t>Regulation 10 – Ensure label is in Bahasa Malaysia (with equivalent meaning if other languages used)</t>
  </si>
  <si>
    <t>Language compliance check</t>
  </si>
  <si>
    <t>Regulation 11 – Ensure label is properly attached or printed on packaging</t>
  </si>
  <si>
    <t>Packaging and labelling control</t>
  </si>
  <si>
    <t>Regulation 12 – Ensure outer packaging also carries the same label information</t>
  </si>
  <si>
    <t>Packaging verification process</t>
  </si>
  <si>
    <t>Regulation 13 – Ensure label is durable and not easily damaged</t>
  </si>
  <si>
    <t>Quality control of label material</t>
  </si>
  <si>
    <t>Regulation 14 – Use metric units for all measurements on label</t>
  </si>
  <si>
    <t>Standardization of units</t>
  </si>
  <si>
    <t>Regulation 15 – Include additional relevant information such as mixing, disposal and product characteristics</t>
  </si>
  <si>
    <t>Label completeness review</t>
  </si>
  <si>
    <t>Regulation 16 – Use standard phrases as prescribed in regulation</t>
  </si>
  <si>
    <t>Standard wording compliance</t>
  </si>
  <si>
    <t>Regulation 19 – Include any additional information required by authority when specified</t>
  </si>
  <si>
    <t>Regulatory update monitoring</t>
  </si>
  <si>
    <t>Assessor Name</t>
  </si>
  <si>
    <t>Date of Assessment</t>
  </si>
  <si>
    <t>Region</t>
  </si>
  <si>
    <t>Seksyen</t>
  </si>
  <si>
    <t>HQ Department</t>
  </si>
  <si>
    <t>Documented Information</t>
  </si>
  <si>
    <t>Onsite Controls</t>
  </si>
  <si>
    <t>Both Documented Information and Onsite Controls</t>
  </si>
  <si>
    <t>Refrigerant</t>
  </si>
  <si>
    <t>Assessor Note (if applicable):</t>
  </si>
  <si>
    <t>B. Critical Operations</t>
  </si>
  <si>
    <t>6. Having 9 items of PTW work activities</t>
  </si>
  <si>
    <t>C. Workplace Activities &amp; Operations</t>
  </si>
  <si>
    <t>D. Hazardous Materials &amp; Chemical Management</t>
  </si>
  <si>
    <t>E. Environmental Impact &amp; Pollution Sources</t>
  </si>
  <si>
    <t>F. Workplace Environment &amp; Exposure</t>
  </si>
  <si>
    <t>G. Premise Classification</t>
  </si>
  <si>
    <t>Section 25(1) - Contractor shall be registered with CIDB and hold a valid registration certificate before carrying out construction works.</t>
  </si>
  <si>
    <t>Section 25(3) - Contractor shall comply with conditions imposed by CIDB during contractor registration.</t>
  </si>
  <si>
    <t>Section 27(1) - Organisation shall provide information or particulars requested by CIDB relating to construction activities.</t>
  </si>
  <si>
    <t>Section 30(1) - Organisation shall stop construction works if instructed by CIDB due to non-registration or non-compliance.</t>
  </si>
  <si>
    <t>Section 31 - Every contractor involved in construction works shall comply with the CIDB Act requirements.</t>
  </si>
  <si>
    <t>Section 33(1) - Construction personnel shall be registered with CIDB and hold valid registration before working at construction site.</t>
  </si>
  <si>
    <t>Section 33A(1) - Construction site supervisors and skilled workers shall be accredited and certified by CIDB before carrying out work.</t>
  </si>
  <si>
    <t>Section 33A(6) - Organisation shall ensure only CIDB accredited and certified site supervisors or skilled workers are engaged.</t>
  </si>
  <si>
    <t>Section 33C(1) - Organisation shall use certified construction materials that comply with CIDB approved standards.</t>
  </si>
  <si>
    <t>Section 33D(1) - Organisation shall not use, supply, buy or deal with non-certified construction materials.</t>
  </si>
  <si>
    <t>Section 33E(1) - Organisation shall comply with CIDB notice prohibiting the use or dealing of non-certified construction materials.</t>
  </si>
  <si>
    <t>Section 34(1) - Contractor shall declare and submit awarded construction contracts to CIDB.</t>
  </si>
  <si>
    <t>Section 34(2) - Contractor shall pay CIDB levy for construction contracts exceeding RM500,000.</t>
  </si>
  <si>
    <t>Section 34(3) - Contractor shall fully disclose information related to CIDB levy payment.</t>
  </si>
  <si>
    <t>Section 34B(1)(a) - Contractor shall submit required information and supporting documents relating to construction works to CIDB.</t>
  </si>
  <si>
    <t>Section 34B(1)(b) - Contractor shall ensure construction works comply with CIDB Act, regulations and applicable legal requirements.</t>
  </si>
  <si>
    <t>Section 34B(1)(c) - Contractor shall ensure safety of building and construction works during and after construction.</t>
  </si>
  <si>
    <t>Section 34B(2)(a) - Contractor shall ensure construction activities do not create risk of injury or property damage.</t>
  </si>
  <si>
    <t>Section 34B(2)(b) - Contractor shall prevent collapse or structural failure of buildings and nearby structures.</t>
  </si>
  <si>
    <t>Section 34C(2)(a) - Contractor shall immediately stop construction works when directed by CIDB.</t>
  </si>
  <si>
    <t>Section 34C(2)(b) - Contractor shall carry out inspection or testing required by CIDB at own cost.</t>
  </si>
  <si>
    <t>Section 34C(2)(c) - Contractor shall perform corrective construction works instructed by CIDB.</t>
  </si>
  <si>
    <t>Section 34C(2)(d) - Contractor shall demolish defective structure and remove debris if instructed by CIDB.</t>
  </si>
  <si>
    <t>Section 34C(5) - Contractor shall display CIDB directive notice at construction site entrances.</t>
  </si>
  <si>
    <t>Section 34E(1) - Person managing construction site shall ensure the site and access routes are safe and not harmful to health.</t>
  </si>
  <si>
    <t>Section 35H(a) - Organisation shall allow CIDB officers to inspect materials, records, documents and equipment at site.</t>
  </si>
  <si>
    <t>Section 35J(1) - Organisation shall provide access to computerized data required during CIDB inspection or investigation.</t>
  </si>
  <si>
    <t>Section 35L(1) - Organisation shall maintain records of seized materials or documents when enforcement action occurs.</t>
  </si>
  <si>
    <t>Section 35U(c) - Organisation shall comply with lawful instructions issued by CIDB enforcement officers.</t>
  </si>
  <si>
    <t>Section 35U(d) - Organisation shall provide information requested by CIDB enforcement officers.</t>
  </si>
  <si>
    <t>Section 35W(a) - Organisation shall produce records, accounts and documents requested by CIDB during inspection or investigation.</t>
  </si>
  <si>
    <t>Section 35W(c) - Organisation shall cooperate with CIDB inquiry to verify legal compliance.</t>
  </si>
  <si>
    <t>Workplace</t>
  </si>
  <si>
    <t>Specific area</t>
  </si>
  <si>
    <t>2. Engagement of contractors working daily at workplace</t>
  </si>
  <si>
    <t>Assessed Location</t>
  </si>
  <si>
    <t>Central</t>
  </si>
  <si>
    <t>Southern</t>
  </si>
  <si>
    <t>Northern</t>
  </si>
  <si>
    <t>LPT2</t>
  </si>
  <si>
    <t>HQ</t>
  </si>
  <si>
    <t>HSSE</t>
  </si>
  <si>
    <t>RSA</t>
  </si>
  <si>
    <t>TP</t>
  </si>
  <si>
    <t>others</t>
  </si>
  <si>
    <t>Type of assessment</t>
  </si>
  <si>
    <t>Ad-hoc</t>
  </si>
  <si>
    <t>Monthly</t>
  </si>
  <si>
    <t>Quarterly</t>
  </si>
  <si>
    <t>Annually</t>
  </si>
  <si>
    <t>Monthly to conduct housekeeping</t>
  </si>
  <si>
    <t>To set 24 C standard setting</t>
  </si>
  <si>
    <t>Long hours duration for seating and office works</t>
  </si>
  <si>
    <t>Central Region Office (CRO)</t>
  </si>
  <si>
    <t xml:space="preserve">Section Office C1&amp;C2 </t>
  </si>
  <si>
    <t>Section Office C5</t>
  </si>
  <si>
    <t>Section Office C6</t>
  </si>
  <si>
    <t>Southern Region Office (SRO)</t>
  </si>
  <si>
    <t xml:space="preserve">Section Office S1 </t>
  </si>
  <si>
    <t>Section Office S4&amp;S5/S6</t>
  </si>
  <si>
    <t>Northern Region Office (NRO)</t>
  </si>
  <si>
    <t>Section Office N1/N2</t>
  </si>
  <si>
    <t>Pejabat Admin Ajil (LPT2)</t>
  </si>
  <si>
    <t>Facilities Management Services</t>
  </si>
  <si>
    <t>Traffic Safety</t>
  </si>
  <si>
    <t xml:space="preserve">Projects Delivery </t>
  </si>
  <si>
    <t xml:space="preserve">Maintenance &amp; Projects </t>
  </si>
  <si>
    <t>Highway Asset Info &amp; Modelling</t>
  </si>
  <si>
    <t>Regulation 4 - Provide sufficient time, budget, resources and welfare facilities to ensure construction work is carried out safely.</t>
  </si>
  <si>
    <t>Regulation 5 - Provide pre-construction information and ensure construction phase plan and safety &amp; health file are prepared before work starts.</t>
  </si>
  <si>
    <t>Regulation 6 - Ensure principal designer and principal contractor comply with CDM safety and health duties.</t>
  </si>
  <si>
    <t>Regulation 7 - Appoint Principal Construction Work Designer (PCWD) and Principal Construction Work Contractor (PCWC) in writing when multiple contractors are involved.</t>
  </si>
  <si>
    <t>Regulation 8 - Notify DOSH before construction starts if project exceeds 30 working days or 500 person-days.</t>
  </si>
  <si>
    <t>Regulation 10 - Ensure designers and contractors have sufficient competency, knowledge, skills and experience for the project.</t>
  </si>
  <si>
    <t>Regulation 11 - Eliminate or reduce safety and health risks during design stage and provide relevant safety information.</t>
  </si>
  <si>
    <t>Regulation 12 - Plan, manage and coordinate safety and health during pre-construction phase.</t>
  </si>
  <si>
    <t>Regulation 13 - Prepare, implement, review and update Construction Phase Plan before site setup.</t>
  </si>
  <si>
    <t>Regulation 14 - Prepare, update and hand over Safety and Health File throughout the project lifecycle.</t>
  </si>
  <si>
    <t>Regulation 15 - Plan, manage and monitor construction phase activities to ensure safe execution of work.</t>
  </si>
  <si>
    <t>Regulation 16 - Consult and engage workers on safety, health and welfare matters at construction site.</t>
  </si>
  <si>
    <t>Regulation 17 - Ensure construction work is properly planned, supervised and carried out safely by competent workers.</t>
  </si>
  <si>
    <t>Regulation 17 - Conduct site induction and provide emergency procedures and safety information to workers.</t>
  </si>
  <si>
    <t>Regulation 18 - Ensure compliance with all general requirements for construction sites under Part IV.</t>
  </si>
  <si>
    <t>Regulation 19 - Provide safe access, safe working area and fall protection at construction site.</t>
  </si>
  <si>
    <t>Regulation 20 - Maintain construction site in good order, clean condition and secure site perimeter where necessary.</t>
  </si>
  <si>
    <t>Regulation 21 - Ensure structure, temporary support and work platform remain stable and safe.</t>
  </si>
  <si>
    <t>Regulation 22 - Plan demolition or dismantling work safely and maintain written arrangements before work begins.</t>
  </si>
  <si>
    <t>Regulation 23 - Store, transport and use explosives safely and securely.</t>
  </si>
  <si>
    <t>Regulation 24 - Prevent excavation collapse and conduct inspection by designated person before work proceeds.</t>
  </si>
  <si>
    <t>Regulation 25 - Ensure cofferdam and caisson are properly designed, maintained and inspected before use.</t>
  </si>
  <si>
    <t>Regulation 26 - Prepare and retain excavation/cofferdam inspection reports and submit to DOSH when required.</t>
  </si>
  <si>
    <t>Regulation 27 - Control risks from electrical installation, overhead cables and underground services.</t>
  </si>
  <si>
    <t>Regulation 28 - Prevent drowning risks and provide rescue equipment and safe water transport arrangements.</t>
  </si>
  <si>
    <t>Regulation 29 - Ensure traffic routes are safe, properly separated, marked and maintained.</t>
  </si>
  <si>
    <t>Regulation 30 - Control vehicle movement and ensure vehicles are operated safely at construction site.</t>
  </si>
  <si>
    <t>Regulation 31 - Prevent risks from fire, explosion, flooding and asphyxiation during construction work.</t>
  </si>
  <si>
    <t>Regulation 32 - Establish and test emergency procedures and evacuation arrangements at suitable intervals.</t>
  </si>
  <si>
    <t>Regulation 33 - Provide sufficient emergency routes, exits and emergency lighting at construction site.</t>
  </si>
  <si>
    <t>Regulation 34 - Provide, maintain and test fire detection systems and fire-fighting equipment.</t>
  </si>
  <si>
    <t>Regulation 35 - Ensure sufficient fresh or purified air is provided at construction site.</t>
  </si>
  <si>
    <t>Regulation 36 - Protect workers from extreme temperature and adverse weather conditions.</t>
  </si>
  <si>
    <t>Regulation 37 - Provide sufficient natural, artificial and emergency lighting at construction site.</t>
  </si>
  <si>
    <t>Regulation 38 - Appoint competent safety and health assistance personnel where necessary.</t>
  </si>
  <si>
    <t>Regulation 39 - Appoint a competent Site Safety Supervisor (SSS) to assist compliance with CDM Regulations.</t>
  </si>
  <si>
    <t>JKKP 6/7/8 reports, submission receipts, investigation reports</t>
  </si>
  <si>
    <t>Medical reports, occupational disease notifications, DOSH submissions</t>
  </si>
  <si>
    <t>Incident investigation procedures</t>
  </si>
  <si>
    <t>Accident register, incident logbook, NADOPOD register</t>
  </si>
  <si>
    <t>Annual submission records to DOSH</t>
  </si>
  <si>
    <t>Correspondence and information provided to DOSH</t>
  </si>
  <si>
    <t>Noise identification records, annual review records; Observation of noisy work areas and activities</t>
  </si>
  <si>
    <t>Competent assessor appointment letter and NRA report; Verification that recommendations have been implemented</t>
  </si>
  <si>
    <t>Training attendance records and materials; Employee interviews and observation of work practices</t>
  </si>
  <si>
    <t>Noise monitoring reports and action plans; Inspection of enclosures, silencers, barriers, and work rotation</t>
  </si>
  <si>
    <t>PPE issuance and maintenance records; Observation of hearing protector condition and usage</t>
  </si>
  <si>
    <t>Layout plans and signage records; Verification of hearing protection zones and signboards</t>
  </si>
  <si>
    <t>Audiometric reports and OHD recommendations; Verification employees attend testing and follow-up actions</t>
  </si>
  <si>
    <t>Record register and filing system; Verification records are available and retained properly</t>
  </si>
  <si>
    <t>SHC establishment records and committee composition; Verification representatives are active and accessible</t>
  </si>
  <si>
    <t>Workplace inspection reports and checklists; Observation that inspections are actually conducted</t>
  </si>
  <si>
    <t>Incident investigation reports; Verification corrective actions implemented</t>
  </si>
  <si>
    <t>Campaign materials, attendance records; Observation of OSH promotion activities</t>
  </si>
  <si>
    <t>SHC meeting schedules and minutes; Interviews confirming regular meetings</t>
  </si>
  <si>
    <t>Training certificates and attendance lists; Interviews to confirm understanding of roles</t>
  </si>
  <si>
    <t>Distribution records, document register; Verification documents are accessible to members</t>
  </si>
  <si>
    <t>Meeting Minutes</t>
  </si>
  <si>
    <t>Certificate of Fitness (CF), DOSH approval; Verification plant is operating only with valid CF</t>
  </si>
  <si>
    <t>Preventive maintenance records; Inspection of plant condition and housekeeping</t>
  </si>
  <si>
    <t>Competent person certificates and appointment letters; Observation of operator competency</t>
  </si>
  <si>
    <t>Copy of valid CF; Verification CF is displayed at plant location</t>
  </si>
  <si>
    <t>Calibration certificates and maintenance records; Functional testing of alarms, interlocks, and safety devices</t>
  </si>
  <si>
    <t>Testing and calibration reports; Inspection of safety equipment condition</t>
  </si>
  <si>
    <t>Emergency response procedures and drills; Availability of emergency stop devices and response arrangements</t>
  </si>
  <si>
    <t>Legal Register &amp; Compliance Review; Onsite Control</t>
  </si>
  <si>
    <t>Documented (SOP / Procedure); Incident / Accident Reporting &amp; Investigation</t>
  </si>
  <si>
    <t>Appointment letters for PCWD and PCWC; Verification appointed parties actively discharge duties</t>
  </si>
  <si>
    <t>Construction Phase Plan (CPP); Observation that site activities follow the CPP</t>
  </si>
  <si>
    <t>Fall protection procedures and inspection records; Inspection of guardrails, scaffolds, and access routes</t>
  </si>
  <si>
    <t>Excavation inspection records; Verification of shoring, sloping, and barricading</t>
  </si>
  <si>
    <t>DOE licence and renewal records; Verification premises operate within licence scope</t>
  </si>
  <si>
    <t>Emission monitoring reports; Inspection of stack emissions and monitoring systems</t>
  </si>
  <si>
    <t>Effluent analysis reports; Inspection of discharge points and treatment systems</t>
  </si>
  <si>
    <t>Maintenance records and SOPs; Inspection of scrubbers, filters, and treatment equipment</t>
  </si>
  <si>
    <t>Scheduled waste inventory, eSWIS records, consignment notes; Inspection of waste storage areas and labelling</t>
  </si>
  <si>
    <t>Emergency response plan and drill records; Availability of spill kits and emergency equipment</t>
  </si>
  <si>
    <t>Environmental training records; Interviews and observation of worker competency</t>
  </si>
  <si>
    <t>Competency certificate</t>
  </si>
  <si>
    <t>Section 49A – Competent person</t>
  </si>
  <si>
    <t>APCS maintenance records, SOPs; Inspection of scrubbers, bag filters, cyclones, or incinerators</t>
  </si>
  <si>
    <t>Monitoring logs and calibration certificates; Verification equipment is operating effectively</t>
  </si>
  <si>
    <t>Smoke opacity monitoring records; Observation of visible emissions from stacks</t>
  </si>
  <si>
    <t>Stack emission reports and laboratory analysis; Verification actual emissions comply with standards</t>
  </si>
  <si>
    <t>CEMS records and calibration certificates; Inspection of installed CEMS and operation status</t>
  </si>
  <si>
    <t>Incident reports and DOE notifications; Verification corrective actions during breakdown</t>
  </si>
  <si>
    <t>Sampling reports by accredited laboratories; Observation of sampling ports and monitoring arrangements</t>
  </si>
  <si>
    <t>Fire Services Act 1988 (Act 341)</t>
  </si>
  <si>
    <t>Fire Certificate (FC); Verification FC covers actual premises and activities</t>
  </si>
  <si>
    <t>FC renewal records and conditions; Inspection of compliance with FC conditions</t>
  </si>
  <si>
    <t>Upgrade plans and maintenance records; Inspection of upgraded fire protection systems</t>
  </si>
  <si>
    <t>Fire Risk Analysis (FRA) report by registered consultant; Verification hazards identified are controlled onsite</t>
  </si>
  <si>
    <t>Service certificates and competency records; Inspection of fire pumps, alarms, extinguishers, sprinklers</t>
  </si>
  <si>
    <t>Training attendance and certificates; Observation of emergency drills and worker competency</t>
  </si>
  <si>
    <t>Private fire brigade records; Verification emergency team and equipment readiness</t>
  </si>
  <si>
    <t>FIRE SERVICES (FIRE CERTIFICATE) REGULATIONS 2001; FIRE SERVICES (FIRE CERTIFICATE)(AMENDMENT) REGULATIONS 2022</t>
  </si>
  <si>
    <t>Reg. 2(1) - Apply for Fire Certificate for designated premises with required documents (FSO cert, Fire Plan, Fire Safety Report)</t>
  </si>
  <si>
    <t>Reg. 2(1)(b) - Prepare Fire and Emergency Response Plan for the premises</t>
  </si>
  <si>
    <t>Reg. 2(1)(c) - Prepare Fire Safety Report for the premises</t>
  </si>
  <si>
    <t>Reg. 3(1) - Ensure Fire Certificate is obtained before operating premises</t>
  </si>
  <si>
    <t>Reg. 3(2) - Do not transfer or misuse Fire Certificate</t>
  </si>
  <si>
    <t>Reg. 4(1) - Renew Fire Certificate before expiry (minimum 30 days)</t>
  </si>
  <si>
    <t>Reg. 4(2)(c) - Submit updated Fire Safety Report during renewal</t>
  </si>
  <si>
    <t>Reg. 5(1) - Notify authority if Fire Certificate is lost or destroyed within 14 days</t>
  </si>
  <si>
    <t>Reg. 6(1) - Display Fire Certificate at visible location in premises</t>
  </si>
  <si>
    <t>Reg. 6B(1) - Establish Fire Safety Organization (FSO) for premises</t>
  </si>
  <si>
    <t>Reg. 6B(2) - Appoint Fire Safety Manager and minimum 3 Fire Safety Officers</t>
  </si>
  <si>
    <t>Reg. 6C(1) - Apply for approval of Fire Safety Organization</t>
  </si>
  <si>
    <t>Reg. 6D(1)(a) - Provide fire fighting equipment and fire safety installation</t>
  </si>
  <si>
    <t>Reg. 6D(1)(b) - Provide fire safety and emergency information to FSO</t>
  </si>
  <si>
    <t>Reg. 6D(1)(c) - Notify authority of any change in FSO personnel within 14 days</t>
  </si>
  <si>
    <t>Reg. 6D(1)(d) - Replace resigned/terminated FSO personnel within 30 days</t>
  </si>
  <si>
    <t>Reg. 6E(1)(a) - Ensure overall fire safety of premises is managed</t>
  </si>
  <si>
    <t>Reg. 6E(1)(b) - Ensure emergency response actions (evacuation &amp; firefighting) are implemented</t>
  </si>
  <si>
    <t>Reg. 6E(1)(c) - Identify and remove fire hazards in premises</t>
  </si>
  <si>
    <t>Reg. 6E(1)(d) - Develop Fire Emergency Plan and Fire Safety Report</t>
  </si>
  <si>
    <t>Reg. 6E(1)(e) - Maintain fire safety documents and records at fire control centre</t>
  </si>
  <si>
    <t>Reg. 6E(1)(f) - Maintain fire protection systems and equipment in good condition</t>
  </si>
  <si>
    <t>Reg. 6E(1)(g) - Attend required fire safety training as directed</t>
  </si>
  <si>
    <t>Reg. 6E(1)(h) - Conduct fire safety training for occupants at least once a year</t>
  </si>
  <si>
    <t>Reg. 6E(1)(i) - Conduct fire drill at least once a year</t>
  </si>
  <si>
    <t>Reg. 6E(1)(j) - Comply with additional fire safety directions from authority</t>
  </si>
  <si>
    <t>Fire Emergency Response Plan; Verification evacuation routes and assembly points</t>
  </si>
  <si>
    <t>Valid Fire Certificate; Inspection that certificate is displayed prominently</t>
  </si>
  <si>
    <t>Appointment letters and competency records; Verification Fire Safety Manager and FSO are active</t>
  </si>
  <si>
    <t>Maintenance records and service certificates; Inspection of extinguishers, alarms, hydrants, sprinklers</t>
  </si>
  <si>
    <t>Preventive maintenance records; Functional testing of fire protection systems</t>
  </si>
  <si>
    <t>Training attendance records; Interviews with occupants and observation of awareness</t>
  </si>
  <si>
    <t>Fire drill reports and attendance lists; Observation or evidence of annual drills</t>
  </si>
  <si>
    <t>Laboratory analysis reports showing compliance with Standard A/B; Verification of discharge point and receiving water body</t>
  </si>
  <si>
    <t>IETS design drawings, approvals, SOPs; Inspection of treatment units and operation</t>
  </si>
  <si>
    <t>Competent person appointment and certification; Verification competent person supervises IETS</t>
  </si>
  <si>
    <t>Flow meter calibration records and monitoring logs; Inspection of flow meter and sampling point installation</t>
  </si>
  <si>
    <t>Sampling records and laboratory reports; Observation of sampling practices</t>
  </si>
  <si>
    <t>Sludge disposal records and consignment notes; Inspection of sludge storage and handling</t>
  </si>
  <si>
    <t>Emergency response procedures and drill records; Verification spill kits, bunds, and emergency arrangements</t>
  </si>
  <si>
    <t>Laboratory analysis reports and discharge monitoring records; Inspection of discharge points and treatment performance</t>
  </si>
  <si>
    <t>STP design documents, SOPs, maintenance records; Observation of STP operation and equipment condition</t>
  </si>
  <si>
    <t>Inspection checklists and maintenance logs; Verification inspections are conducted onsite</t>
  </si>
  <si>
    <t>Sampling reports and laboratory certificates; Observation of sampling points and procedures</t>
  </si>
  <si>
    <t>Appointment letter and competency certificate; Verification competent person supervises operations</t>
  </si>
  <si>
    <t>Sludge disposal records and contractor documentation; Inspection of sludge storage and handling</t>
  </si>
  <si>
    <t>Calibration certificates; Verification monitoring equipment condition</t>
  </si>
  <si>
    <t>Operational procedures and incident records; Inspection for bypass lines or unauthorized discharge pathways</t>
  </si>
  <si>
    <t>Fuel supplier certificates, COA (Certificate of Analysis); Inspection of storage tanks and fuel segregation</t>
  </si>
  <si>
    <t>Sampling procedures and laboratory methods; Observation of fuel sampling activities</t>
  </si>
  <si>
    <t>Fuel test reports for each batch; Verification sample retention and traceability</t>
  </si>
  <si>
    <t>Sample retention records; Inspection of retained fuel samples and storage conditions</t>
  </si>
  <si>
    <t>Fuel Quality Management System (QMS); Verification implementation of QMS practices</t>
  </si>
  <si>
    <t>DOE instructions and corrective action records; Observation that non-compliant fuel use has ceased</t>
  </si>
  <si>
    <t>DOE notification letters/eSWIS records; Verification new waste streams generated onsite</t>
  </si>
  <si>
    <t>Consignment notes and licensed contractor records; Verification wastes sent only to prescribed premises</t>
  </si>
  <si>
    <t>SOPs, transport documents, contractor licences; Inspection of packaging, labelling, and storage</t>
  </si>
  <si>
    <t>Inventory records and approval letters for exceeding limits; Inspection of storage duration, quantity, bunding, and container condition</t>
  </si>
  <si>
    <t>Waste labels and waste register; Verification labels are attached and legible</t>
  </si>
  <si>
    <t>Scheduled waste inventory (eSWIS); Comparison of physical stock against records</t>
  </si>
  <si>
    <t>Consignment notes and DOE submissions; Traceability of waste movement</t>
  </si>
  <si>
    <t>Spill response procedures and incident reports; Inspection of spill kits and clean-up actions</t>
  </si>
  <si>
    <t>Training records and certificates; Employee interviews and observation of work practices</t>
  </si>
  <si>
    <t>Design drawings and maintenance records for landfill gas system; Inspection of gas wells, flares, or gas recovery systems</t>
  </si>
  <si>
    <t>Groundwater monitoring reports; Inspection of monitoring wells and containment systems</t>
  </si>
  <si>
    <t>Leachate analysis reports; Observation of sampling points and discharge systems</t>
  </si>
  <si>
    <t>SOPs and maintenance records for leachate treatment; Inspection of treatment plant operation</t>
  </si>
  <si>
    <t>Competent person appointment and certification; Verification of supervision activities</t>
  </si>
  <si>
    <t>Incident reports and notifications to authority; Inspection of spill response and containment measures</t>
  </si>
  <si>
    <t>Environmental training records; Interviews and observation of staff competency</t>
  </si>
  <si>
    <t>Smoke emission test reports; Observation of exhaust smoke during operation</t>
  </si>
  <si>
    <t>Preventive maintenance schedules and service records; Inspection of vehicle and machinery condition</t>
  </si>
  <si>
    <t>Service reports and tuning records; Verification of engine condition and settings</t>
  </si>
  <si>
    <t>Emission testing reports and calibration certificates; Observation of emission testing activities</t>
  </si>
  <si>
    <t>Fuel purchase records and specifications; Verification of fuel storage and usage</t>
  </si>
  <si>
    <t>Smoke meter calibration certificates; Inspection of smoke meter use during testing</t>
  </si>
  <si>
    <t>Emission monitoring records; Verification that smoke levels remain within limits</t>
  </si>
  <si>
    <t>Corrective action reports; Observation that non-compliant engines are repaired or withdrawn from service</t>
  </si>
  <si>
    <t>Equipment specifications and refrigerant inventory; Verification installed systems use approved refrigerants</t>
  </si>
  <si>
    <t>Training certificates and equipment maintenance records; Observation of technicians using recovery/recycling machines</t>
  </si>
  <si>
    <t>Approval letters and refrigerant recovery records; Verification no venting of refrigerants to atmosphere</t>
  </si>
  <si>
    <t>Product datasheets and refrigerant specifications; Inspection of refrigerant cylinders and system labels</t>
  </si>
  <si>
    <t>Retrofit training records; Interviews and observation of retrofit activities</t>
  </si>
  <si>
    <t>Technical reports and competency records; Verification expert support during refrigerant handling</t>
  </si>
  <si>
    <t>Vehicle maintenance records, inspection checklist, SOP, HIRARC, physical inspection of vehicles and equipment</t>
  </si>
  <si>
    <t>Chemical handling procedure, SDS, storage records, transport SOP, observation of storage and transport practices</t>
  </si>
  <si>
    <t>Training matrix, attendance records, competency certificates, toolbox meeting records, worker interviews</t>
  </si>
  <si>
    <t>Housekeeping inspection checklist, site inspection records, observation of access routes and emergency exits</t>
  </si>
  <si>
    <t>Welfare facility inspection records, availability of toilets, rest area, drinking water, first aid facilities</t>
  </si>
  <si>
    <t>Approved OSH Policy, communication records, display of policy at workplace, worker interviews</t>
  </si>
  <si>
    <t>Visitor management procedure, safety signage, traffic management plan, visitor briefing records</t>
  </si>
  <si>
    <t>HIRARC records, risk register, evidence of implemented control measures onsite</t>
  </si>
  <si>
    <t>Annual training plan, training records, refresher training attendance, competency certificates</t>
  </si>
  <si>
    <t>Document register, legal register, inspection records, incident records, record retention system</t>
  </si>
  <si>
    <t>ERP document, emergency contact list, drill records, emergency equipment inspection</t>
  </si>
  <si>
    <t>Internal audit reports, corrective action records, audit schedule</t>
  </si>
  <si>
    <t>Driving licence, GDL/PSV (if applicable), medical examination records, recruitment records</t>
  </si>
  <si>
    <t>Driver SOP, journey management plan, pre-trip checklist, driver interviews</t>
  </si>
  <si>
    <t>Workplace inspection reports, HIRARC, maintenance records, observation of workplace conditions and equipment safety</t>
  </si>
  <si>
    <t>SOP, SDS, Chemical Register, storage inspection records, observation of handling and storage practices</t>
  </si>
  <si>
    <t>Training records, induction records, toolbox meeting records, competency certificates, supervision records</t>
  </si>
  <si>
    <t>Housekeeping inspection checklist, emergency exit inspection records, observation of access routes and walkways</t>
  </si>
  <si>
    <t>Welfare facility inspection records, toilets, rest areas, drinking water, first aid facilities, worker interviews</t>
  </si>
  <si>
    <t>Emergency Response Plan (ERP), emergency contact list, drill records, emergency equipment inspection</t>
  </si>
  <si>
    <t>Signed OSH Policy, policy communication records, notice board display, employee interviews</t>
  </si>
  <si>
    <t>Visitor management procedure, traffic management plan, public protection measures, safety signage</t>
  </si>
  <si>
    <t>Safety briefing records, visitor induction records, warning signs, contractor communication records</t>
  </si>
  <si>
    <t>Site inspection reports, physical barriers, access control measures, safe storage arrangements</t>
  </si>
  <si>
    <t>Contractor management procedure, contractor induction records, permit-to-work system, contractor audits</t>
  </si>
  <si>
    <t>HIRARC reports, risk register, evidence of implemented control measures onsite</t>
  </si>
  <si>
    <t>Equipment specifications, manuals, certificates, inspection reports, CE/standard compliance records</t>
  </si>
  <si>
    <t>SDS, Chemical Register, storage procedures, chemical labelling, observation of handling practices</t>
  </si>
  <si>
    <t>Employee handbook, training records, disciplinary records, worker interviews and observations</t>
  </si>
  <si>
    <t>Safety rules, disciplinary records, observation of PPE and safety equipment usage</t>
  </si>
  <si>
    <t>Company policy, payroll records, PPE issuance records showing no employee charges</t>
  </si>
  <si>
    <t>Procedure for imminent danger reporting, stop-work records, employee awareness interviews</t>
  </si>
  <si>
    <t>OSH Coordinator appointment letter, competency certificate, training certificate, job description</t>
  </si>
  <si>
    <t>SHC establishment records, committee organization chart, appointment letters</t>
  </si>
  <si>
    <t>SHC meeting minutes, workplace inspection reports, recommendation tracking records</t>
  </si>
  <si>
    <t>Training certificates, attendance records, proof of registered training provider</t>
  </si>
  <si>
    <t>Competent person appointment letter, competency certificate, activity records, inspection reports</t>
  </si>
  <si>
    <t>Incident reporting procedure, NADOPOD submissions, JKKP reports, incident investigation reports</t>
  </si>
  <si>
    <t>Correspondence with DOSH, inquiry reports, meeting records, attendance evidence</t>
  </si>
  <si>
    <t>Appointment letter and registration certificate of competent person, approved submissions, supervision records, site inspection</t>
  </si>
  <si>
    <t>Contractor permit, CIDB registration, approved drawings, site verification of works</t>
  </si>
  <si>
    <t>Approved sewerage development plan, authority approval letter, site inspection against plan</t>
  </si>
  <si>
    <t>Approval letters, EIA records (if applicable), effluent monitoring reports</t>
  </si>
  <si>
    <t>Sewerage planning documents, design calculations, compliance checklist to SPAN guidelines</t>
  </si>
  <si>
    <t>Submission records, application forms, acknowledgment receipts from authority</t>
  </si>
  <si>
    <t>Revised drawings, correspondence with authority, resubmission records</t>
  </si>
  <si>
    <t>Approval letter with conditions, implementation records, site verification</t>
  </si>
  <si>
    <t>Valid approval documents, extension or renewal records</t>
  </si>
  <si>
    <t>Approved design submission package, authority acknowledgment</t>
  </si>
  <si>
    <t>Revised design drawings, design review records, correspondence</t>
  </si>
  <si>
    <t>Valid design approval, extension approval documents</t>
  </si>
  <si>
    <t>Approved design documents, construction commencement records</t>
  </si>
  <si>
    <t>Approved drawings, inspection reports, as-built verification, site observation</t>
  </si>
  <si>
    <t>Inspection reports, corrective action records, close-out evidence</t>
  </si>
  <si>
    <t>Material test reports, laboratory certificates, sampling records</t>
  </si>
  <si>
    <t>Notification letter, submission receipt, correspondence with authority</t>
  </si>
  <si>
    <t>Notification records, inspection request forms</t>
  </si>
  <si>
    <t>Notification letter, approval records</t>
  </si>
  <si>
    <t>Inspection requests, intermediate inspection reports, corrective action records</t>
  </si>
  <si>
    <t>Final inspection reports, defect rectification records, authority clearance</t>
  </si>
  <si>
    <t>Compliance checklist, handover documents, inspection reports</t>
  </si>
  <si>
    <t>Certificate of completion, confirmation letter from authority</t>
  </si>
  <si>
    <t>Handover certificate, acceptance letter from service licensee</t>
  </si>
  <si>
    <t>O&amp;M manual, maintenance records, operational testing reports</t>
  </si>
  <si>
    <t>Defect liability bond, rectification reports, completion records</t>
  </si>
  <si>
    <t>Competent person appointment, supervision logbook, inspection records</t>
  </si>
  <si>
    <t>Document control records, as-built drawings, audit reports</t>
  </si>
  <si>
    <t>Site inspection reports, construction records, compliance audits</t>
  </si>
  <si>
    <t>Notification letter, appointment letter of replacement competent person</t>
  </si>
  <si>
    <t>Defect investigation reports, corrective action records, liability documents</t>
  </si>
  <si>
    <t>Payment receipts, invoices, authority acknowledgment</t>
  </si>
  <si>
    <t>Payment receipts, authority acknowledgment</t>
  </si>
  <si>
    <t>Payment receipts, commencement approval records</t>
  </si>
  <si>
    <t>Appointment letter and registration certificate of competent person, signed design drawings, submission records to authority</t>
  </si>
  <si>
    <t>Contractor permit, CIDB registration, supervision records, site inspection reports</t>
  </si>
  <si>
    <t>Sewerage planning report, design calculations, compliance checklist against SPAN guidelines</t>
  </si>
  <si>
    <t>Application forms, submission records, acknowledgment receipt from authority</t>
  </si>
  <si>
    <t>Revised plans, authority comments, resubmission records and correspondence</t>
  </si>
  <si>
    <t>Approved sewerage planning letter or permit issued by authority</t>
  </si>
  <si>
    <t>Design submission package, approval application forms, acknowledgment records</t>
  </si>
  <si>
    <t>Revised design drawings, design review records, authority correspondence</t>
  </si>
  <si>
    <t>Valid design approval documents, renewal or extension approvals</t>
  </si>
  <si>
    <t>Approved design documents, work commencement permit, construction records</t>
  </si>
  <si>
    <t>Approved drawings, method statements, inspection reports, site observation, as-built verification</t>
  </si>
  <si>
    <t>Inspection reports, non-compliance reports, corrective action and close-out records</t>
  </si>
  <si>
    <t>Material sampling records, laboratory test reports, certificates of analysis</t>
  </si>
  <si>
    <t>Notification letter, acknowledgment from authority, submission records</t>
  </si>
  <si>
    <t>Inspection request forms, notification records, correspondence with authority</t>
  </si>
  <si>
    <t>Notification records, approval documents, commencement records</t>
  </si>
  <si>
    <t>Intermediate inspection request, inspection reports, corrective action records</t>
  </si>
  <si>
    <t>Final inspection reports, rectification records, authority clearance letter</t>
  </si>
  <si>
    <t>Land surrender documents, way leave agreements, authority acceptance records</t>
  </si>
  <si>
    <t>Certificate of Completion and Compliance (CCC), confirmation letter from authority</t>
  </si>
  <si>
    <t>O&amp;M manual, maintenance records, commissioning reports, operational testing records</t>
  </si>
  <si>
    <t>Defects liability bond, defect register, rectification records</t>
  </si>
  <si>
    <t>Appointment letter, professional registration certificate, supervision records</t>
  </si>
  <si>
    <t>Compliance checklist, audit reports, design review records, site inspection reports</t>
  </si>
  <si>
    <t>Notification letter to authority, appointment letter of replacement competent person</t>
  </si>
  <si>
    <t>Defect investigation reports, performance monitoring records, corrective actions</t>
  </si>
  <si>
    <t>Payment receipts, invoices, proof of payment</t>
  </si>
  <si>
    <t>Payment receipts, authority acknowledgment records</t>
  </si>
  <si>
    <t>Payment receipts, work commencement approval records</t>
  </si>
  <si>
    <t>Approved construction drawings, authority approval letter, compliance checklist, site inspection records</t>
  </si>
  <si>
    <t>Operation and maintenance records, service reports, inspection checklist, onsite verification of system condition</t>
  </si>
  <si>
    <t>Cleaning schedule, desludging records, maintenance logbook, physical inspection of sewerage system</t>
  </si>
  <si>
    <t>Approved drainage/sewerage drawings, as-built drawings, site inspection of drainage connection</t>
  </si>
  <si>
    <t>Approval letter for connection/modification, permit records, inspection of actual connection works</t>
  </si>
  <si>
    <t>Discharge approval, effluent analysis report, monitoring records, inspection of discharge points</t>
  </si>
  <si>
    <t>Damage report, repair records, compensation/payment records, verification of completed repair works</t>
  </si>
  <si>
    <t>Preventive maintenance records, inspection reports, service contractor reports, onsite system condition check</t>
  </si>
  <si>
    <t>Authority instruction/notice, connection approval, completion certificate, site verification of connection</t>
  </si>
  <si>
    <t>Septic tank cleaning records, licensed contractor certificate, desludging receipt, inspection of septic tank condition</t>
  </si>
  <si>
    <t>Complaint records, inspection reports, maintenance records, observation of odour, overflow, leakage or blockage</t>
  </si>
  <si>
    <t>Bills, payment receipts, account statements, proof of settlement</t>
  </si>
  <si>
    <t>Approval letter, application records, approved drawings, construction permit</t>
  </si>
  <si>
    <t>Valid licence, renewal records, licence conditions, company registration records</t>
  </si>
  <si>
    <t>Licence application, valid licence, compliance records, audit/inspection reports</t>
  </si>
  <si>
    <t>SOP, maintenance records, operation logbook, inspection reports, onsite verification of operation</t>
  </si>
  <si>
    <t>Authority notice, corrective action plan, completion evidence, close-out letter or acknowledgment</t>
  </si>
  <si>
    <t>Clearance letter, payment settlement records, transfer documents, correspondence with authority</t>
  </si>
  <si>
    <t>Reg.3 - Determine whether the workplace activity involving chemicals hazardous to health falls under the application of USECHH Regulations.</t>
  </si>
  <si>
    <t>Reg.4 - Ensure the employer or self-employed person complies with the duties required for safe use of chemicals hazardous to health.</t>
  </si>
  <si>
    <t>Reg.5 - Prepare and maintain a register of chemicals hazardous to health used at the workplace.</t>
  </si>
  <si>
    <t>Reg.6 - Ensure employee exposure to chemicals does not exceed the prescribed ceiling limit.</t>
  </si>
  <si>
    <t>Reg.7 - Ensure employee exposure to chemicals does not exceed the prescribed eight-hour time-weighted average exposure limit.</t>
  </si>
  <si>
    <t>Reg.8 - Ensure respirators are only used appropriately when complying with permissible exposure limits.</t>
  </si>
  <si>
    <t>Reg.9 - Conduct a health risk assessment for work activities involving chemicals hazardous to health.</t>
  </si>
  <si>
    <t>Reg.10 - Review the health risk assessment when required or when workplace conditions change.</t>
  </si>
  <si>
    <t>Reg.11 - Ensure the health risk assessment is conducted by a registered assessor.</t>
  </si>
  <si>
    <t>Reg.12 - Ensure the health risk assessment report is prepared after the assessment is conducted.</t>
  </si>
  <si>
    <t>Reg.13 - Maintain the assessment report properly and make it available to relevant employees.</t>
  </si>
  <si>
    <t>Reg.14 - Take necessary action to control employee exposure based on the assessment findings.</t>
  </si>
  <si>
    <t>Reg.15 - Implement suitable control measures to eliminate or reduce exposure to chemicals hazardous to health.</t>
  </si>
  <si>
    <t>Reg.16 - Provide and ensure proper use of approved personal protective equipment where required.</t>
  </si>
  <si>
    <t>Reg.17 - Ensure engineering control equipment is inspected, tested and maintained effectively.</t>
  </si>
  <si>
    <t>Reg.18 - Ensure local exhaust ventilation or similar engineering controls are properly designed, constructed and commissioned.</t>
  </si>
  <si>
    <t>Reg.19 - Maintain records of inspection, testing and maintenance of engineering control equipment.</t>
  </si>
  <si>
    <t>Reg.20 - Ensure chemicals hazardous to health are relabelled when the original label is removed, damaged or unclear.</t>
  </si>
  <si>
    <t>Reg.21 - Ensure relabelling is properly carried out for transferred or repacked chemicals.</t>
  </si>
  <si>
    <t>Reg.23 - Provide relevant information, instruction and supervision to other persons who may be affected by chemical hazards at the workplace.</t>
  </si>
  <si>
    <t>Reg.24 - Ensure Safety Data Sheets are obtained from suppliers for chemicals hazardous to health.</t>
  </si>
  <si>
    <t>Reg.25 - Ensure Safety Data Sheets are available and accessible at the workplace.</t>
  </si>
  <si>
    <t>Reg.26 - Conduct exposure monitoring where required to assess employee exposure to chemicals hazardous to health.</t>
  </si>
  <si>
    <t>Reg.27 - Establish a health surveillance programme where required by the assessment or exposure risk.</t>
  </si>
  <si>
    <t>Reg.28 - Implement medical removal protection for employees affected by chemical exposure where required.</t>
  </si>
  <si>
    <t>Reg.29 - Display appropriate warning signs at areas involving chemicals hazardous to health.</t>
  </si>
  <si>
    <t>Reg.30 - Keep and maintain all required USECHH records properly.</t>
  </si>
  <si>
    <t>Chemical applicability assessment, workplace chemical list, SDS review and site verification showing chemicals hazardous to health are used, stored, handled or processed.</t>
  </si>
  <si>
    <t>Assigned responsibility matrix, chemical safety procedure, CHRA action plan, training records and onsite evidence that chemical controls are implemented.</t>
  </si>
  <si>
    <t>Updated chemical register containing chemical list, SDS, quantity used or stored, work area/process and supplier details.</t>
  </si>
  <si>
    <t>Exposure monitoring report, CHRA recommendation, air monitoring result and onsite exposure controls such as ventilation, enclosure or PPE.</t>
  </si>
  <si>
    <t>Personal exposure monitoring report, comparison against permissible exposure limits and evidence of effective workplace control measures.</t>
  </si>
  <si>
    <t>Respirator selection record, fit test record, PPE issuance record, training record and onsite observation of correct respirator use.</t>
  </si>
  <si>
    <t>Valid CHRA report covering chemical hazards, exposure level, work process, control measures, monitoring needs, health surveillance needs and training requirements.</t>
  </si>
  <si>
    <t>CHRA review record, updated CHRA report or review justification after process change, chemical change, control change, instruction by authority or expiry of assessment validity.</t>
  </si>
  <si>
    <t>Appointment letter, assessor competency certificate or registration proof and CHRA report signed by the registered assessor.</t>
  </si>
  <si>
    <t>Completed CHRA report issued to employer, report submission record, acknowledgement email or receiving record from employer.</t>
  </si>
  <si>
    <t>CHRA report retained for required period, controlled document register and evidence that report is accessible to DOSH officer or exposed employees upon request.</t>
  </si>
  <si>
    <t>CHRA action plan, corrective action record, implementation evidence, photos of control measures and onsite verification that exposure controls are installed or practiced.</t>
  </si>
  <si>
    <t>Documented safe work procedure, hierarchy of control evidence, engineering control, isolation, substitution record, PPE control and onsite observation of safe work practices.</t>
  </si>
  <si>
    <t>PPE assessment, PPE issuance record, approved PPE specification, maintenance record, training record and onsite observation that employees wear suitable PPE correctly.</t>
  </si>
  <si>
    <t>Monthly inspection checklist, annual hygiene technician test report, maintenance record and onsite verification that engineering control equipment is functioning.</t>
  </si>
  <si>
    <t>LEV design document, professional engineer approval, commissioning test report, installation drawing and onsite verification of installed LEV system.</t>
  </si>
  <si>
    <t>Records of LEV design, construction, testing, inspection, examination and maintenance kept for inspection by authority.</t>
  </si>
  <si>
    <t>Chemical labelling procedure, workplace chemical inspection checklist and onsite verification that all chemical containers have clear and intact labels.</t>
  </si>
  <si>
    <t>Relabelling procedure, secondary container label sample and onsite verification that transferred chemicals are labelled with chemical name or required hazard information.</t>
  </si>
  <si>
    <t>Chemical safety training record, training module, attendance list, competency evaluation and interview/observation showing employees understand chemical risks and precautions.</t>
  </si>
  <si>
    <t>Contractor briefing record, visitor induction, permit-to-work, supervision record and onsite evidence that contractors or relevant persons are controlled and informed.</t>
  </si>
  <si>
    <t>Supplier communication record, requested SDS, updated SDS file and evidence that chemical was not used until required information was obtained.</t>
  </si>
  <si>
    <t>Current SDS file, SDS station, QR code access or hardcopy SDS placed near chemical use area and accessible to employees onsite.</t>
  </si>
  <si>
    <t>Exposure monitoring report by hygiene technician, sampling plan, laboratory analysis result, monitoring frequency record and evidence of follow-up action.</t>
  </si>
  <si>
    <t>Health surveillance programme, occupational health doctor appointment, medical surveillance record, employee notification and follow-up action record.</t>
  </si>
  <si>
    <t>Medical recommendation, employee removal or reassignment record, return-to-work clearance and evidence that affected employees are not exposed to restricted chemicals.</t>
  </si>
  <si>
    <t>Onsite warning signs at chemical areas, bilingual signage, visible hazard warning, inspection checklist and photo evidence of signage condition.</t>
  </si>
  <si>
    <t>Record retention register covering CHRA, engineering control, training, exposure monitoring and health surveillance records, including handover or submission arrangements where business ceases.</t>
  </si>
  <si>
    <t>MyKKP platform</t>
  </si>
  <si>
    <t>Pesticides Act 1974</t>
  </si>
  <si>
    <t>Lembaga Pembangunan Industri Pembinaan Malaysia Act 1994</t>
  </si>
  <si>
    <t>Description</t>
  </si>
  <si>
    <t>What law to enforce that</t>
  </si>
  <si>
    <t>Result picked by user
if yes - applicable
If no - not applicable</t>
  </si>
  <si>
    <t>4. Use of young workers or apprentices</t>
  </si>
  <si>
    <t>5(b). Construction works value exceeds RM10M</t>
  </si>
  <si>
    <t>5(a). Construction works</t>
  </si>
  <si>
    <t>Col2 – New statement of what law to enforce that</t>
  </si>
  <si>
    <t>Col3 – If user picked Yes</t>
  </si>
  <si>
    <t>Col4 – If user picked No</t>
  </si>
  <si>
    <t xml:space="preserve">OSHA 1994 requires OSH Coordinator where employer has 5 or more employees, unless SHO is appointed, and Safety &amp; Health Committee where 40 or more persons are employed. </t>
  </si>
  <si>
    <t xml:space="preserve">OSHA 1994 Sections 17, 18A and 18B require employer/principal to protect contractors and conduct risk assessment for persons affected by the undertaking. </t>
  </si>
  <si>
    <t xml:space="preserve">OSHA 1994 Section 15 requires safe system of work, information, instruction, training and supervision for all employees. </t>
  </si>
  <si>
    <t xml:space="preserve">Children and Young Persons (Employment) Act 1966 controls employment of children/young persons, while OSHA 1994 still requires safe work, training and supervision. </t>
  </si>
  <si>
    <t xml:space="preserve">CDM Regulations 2024 apply to all places of work where a construction project is carried out. </t>
  </si>
  <si>
    <t xml:space="preserve">CDM 2024 does not state RM10M as the SSS legal trigger; Regulation 39 requires the principal construction work contractor to appoint a competent Site Safety Supervisor to assist compliance. </t>
  </si>
  <si>
    <t xml:space="preserve">OSHA 1994 Section 18B requires risk assessment and risk control; PTW may be used as an internal control for high-risk work. </t>
  </si>
  <si>
    <t xml:space="preserve">OSHA 1994 Sections 15 and 18B require safe plant/equipment and risk assessment; Electricity Supply Act 1990 applies to electrical installation, plant and equipment safety. </t>
  </si>
  <si>
    <t xml:space="preserve">OSHA 1994 Sections 15 and 18B require safe system of work and risk assessment for fall-related hazards. </t>
  </si>
  <si>
    <t xml:space="preserve">OSHA 1994 Sections 15 and 18B require safe system of work and risk assessment for confined-space hazards. </t>
  </si>
  <si>
    <t xml:space="preserve">OSHA 1994 requires risk control; Plant Requiring Certificate of Fitness Regulations 2024 require CF for steam boilers, pressure vessels and lifting machinery. </t>
  </si>
  <si>
    <t xml:space="preserve">OSHA 1994 requires risk assessment; USECHH applies where workers may be exposed to chemical fumes; fire controls are required where hot work creates fire risk. </t>
  </si>
  <si>
    <t xml:space="preserve">Plant Requiring Certificate of Fitness Regulations 2024 prescribe pressure vessels as plant requiring CF. </t>
  </si>
  <si>
    <t xml:space="preserve">OSHA 1994 Sections 15 and 18B require safe system of work and risk assessment for workplace transport and machinery movement. </t>
  </si>
  <si>
    <t xml:space="preserve">OSHA 1994 Sections 15 and 18B require risk assessment and control of ergonomic/manual handling risks. </t>
  </si>
  <si>
    <t xml:space="preserve">OSHA 1994 requires safe plant, safe system of work and risk assessment for maintenance exposure. </t>
  </si>
  <si>
    <t xml:space="preserve">USECHH 2000 requires control of exposure to chemicals hazardous to health; CLASS 2013 requires hazard classification, labelling and SDS for hazardous chemicals. </t>
  </si>
  <si>
    <t xml:space="preserve">OSHA 1994 requires risk control for substances; CLASS/USECHH applies where hazardous chemicals are stored or used at workplace. </t>
  </si>
  <si>
    <t xml:space="preserve">Pesticides Act 1974 controls pesticide registration, labelling, sale/storage; USECHH applies where workers are exposed to chemicals hazardous to health. </t>
  </si>
  <si>
    <t xml:space="preserve">Environmental Quality (Scheduled Wastes) Regulations 2005 require proper storage, treatment/recovery/disposal and movement control by waste generator. </t>
  </si>
  <si>
    <t xml:space="preserve">OSHA 1994 requires risk control for plant/substances; pressure vessel CF requirement applies only where the equipment falls under prescribed pressure vessel category. </t>
  </si>
  <si>
    <t xml:space="preserve">Supply Control Act 1961 / Supply Control Regulations 1974 treat petrol, diesel and LPG as controlled goods; OSHA/EQA controls may also apply for safety and spill risk. </t>
  </si>
  <si>
    <t xml:space="preserve">Environmental Quality (Clean Air) Regulations 2014 apply to air emission sources from prescribed premises/activities. </t>
  </si>
  <si>
    <t xml:space="preserve">Environmental Quality (Industrial Effluent) Regulations 2009 apply to premises discharging industrial/mixed effluent into soil or inland/Malaysian waters. </t>
  </si>
  <si>
    <t xml:space="preserve">Environmental Quality (Sewage) Regulations 2009 apply to premises discharging sewage into soil, inland waters or Malaysian waters. </t>
  </si>
  <si>
    <t xml:space="preserve">Environmental Quality (Scheduled Wastes) Regulations 2005 require scheduled waste to be stored in compatible containers and managed by waste generator. </t>
  </si>
  <si>
    <t xml:space="preserve">OSHA 1994 requires risk assessment; Noise Exposure Regulations 2019/ICOP apply where occupational noise exposure may exceed action levels. </t>
  </si>
  <si>
    <t xml:space="preserve">EQA and relevant DOE regulations apply where substances may cause environmental pollution; OSHA/CLASS/USECHH apply where workplace chemical risk exists. </t>
  </si>
  <si>
    <t xml:space="preserve">OSHA 1994 requires health risk control; EQA/WSIA controls may apply if discharge or water/sewerage system impact exists. </t>
  </si>
  <si>
    <t xml:space="preserve">Noise Exposure Regulations 2019 and ICOP require assessment and hearing conservation where excessive occupational noise exposure exists. </t>
  </si>
  <si>
    <t xml:space="preserve">USECHH 2000 requires assessment and control where work exposes or is likely to expose employees to chemicals hazardous to health. </t>
  </si>
  <si>
    <t xml:space="preserve">OSHA 1994 Sections 15 and 18B require safe working environment, risk assessment and control for health hazards. </t>
  </si>
  <si>
    <t xml:space="preserve">OSHA 1994 requires safe working environment and risk assessment for workplace health conditions. </t>
  </si>
  <si>
    <t xml:space="preserve">OSHA 1994 Sections 15 and 18B require risk assessment and control for ergonomic hazards. </t>
  </si>
  <si>
    <t xml:space="preserve">Fire Services Act 1988 requires Fire Certificate for designated premises; BOMBA states all designated premises must have a fire certificate. </t>
  </si>
  <si>
    <t xml:space="preserve">Fire Services Act 1988 / Designated Premises requirements apply where the office building meets designated-premise criteria. </t>
  </si>
  <si>
    <t xml:space="preserve">Fire Services Act 1988 / Designated Premises requirements apply where shop/retail premises meet designated-premise criteria. </t>
  </si>
  <si>
    <t xml:space="preserve">Fire Services Act 1988 / Designated Premises requirements apply where factory premises meet designated-premise criteria. </t>
  </si>
  <si>
    <t xml:space="preserve">Fire Services Act 1988 / Designated Premises requirements apply where assembly premises meet designated-premise criteria. </t>
  </si>
  <si>
    <t xml:space="preserve">Fire Services Act 1988 / Designated Premises requirements apply where storage/warehouse premises meet designated-premise criteria. </t>
  </si>
  <si>
    <t xml:space="preserve">Fire Services Act 1988 / Designated Premises requirements apply where the car park meets designated-premise criteria. </t>
  </si>
  <si>
    <t xml:space="preserve">Plant Requiring Certificate of Fitness Regulations 2024 apply where air receiver is a prescribed pressure vessel. </t>
  </si>
  <si>
    <t xml:space="preserve">Plant Requiring Certificate of Fitness Regulations 2024 prescribe lifting machinery as plant requiring CF. </t>
  </si>
  <si>
    <t xml:space="preserve">EQA Clean Air Regulations may apply to generator exhaust; OSHA applies to equipment safety and risk assessment. </t>
  </si>
  <si>
    <t xml:space="preserve">Supply Control Act / Supply Control Regulations apply to diesel as controlled goods; EQA/OSHA controls apply for spill and fire risk. </t>
  </si>
  <si>
    <t xml:space="preserve">Environmental Quality (Scheduled Wastes) Regulations 2005 require compatible containers and storage control. </t>
  </si>
  <si>
    <t xml:space="preserve">Environmental Quality (Clean Air) Regulations 2014 apply to air pollution control and emission sources. </t>
  </si>
  <si>
    <t xml:space="preserve">Plant Requiring Certificate of Fitness Regulations 2024 prescribe steam boiler as plant requiring CF. </t>
  </si>
  <si>
    <t xml:space="preserve">Environmental Quality (Industrial Effluent) Regulations 2009 apply to industrial/mixed effluent treatment and discharge. </t>
  </si>
  <si>
    <t xml:space="preserve">Environmental Quality (Sewage) Regulations 2009 apply to sewage discharge from premises. </t>
  </si>
  <si>
    <t xml:space="preserve">Water Services Industry Act 2006 requires private sewerage system/septic tank to be maintained, desludged and not cause nuisance or health harm. </t>
  </si>
  <si>
    <t xml:space="preserve">OSHA 1994 requires workplace transport risk assessment and control for plant/vehicles. </t>
  </si>
  <si>
    <t xml:space="preserve">OSHA 1994 requires health risk control; EQA/WSIA may apply where discharge or water system risk exists. </t>
  </si>
  <si>
    <t xml:space="preserve">LPG is listed as a controlled good under Supply Control Regulations; OSHA controls apply for fire/explosion and handling risk. </t>
  </si>
  <si>
    <t xml:space="preserve">Environmental Quality (Refrigerant Management) Regulations 2020 replace the 1999 regulation and apply to refrigerant management. </t>
  </si>
  <si>
    <t xml:space="preserve">OSHA 1994 and DOSH Code of Practice for Road Transport Activities 2010 support work-related transport safety management. </t>
  </si>
  <si>
    <t xml:space="preserve">OSHA/CLASS/USECHH apply to hazardous chemical information and exposure control; road transport safety code applies where materials are transported for work. </t>
  </si>
  <si>
    <t xml:space="preserve">OSHA 1994 Sections 15 and 18B require safe system of work and risk assessment for mechanical handling. </t>
  </si>
  <si>
    <t xml:space="preserve">EQA controls pollution risk to soil and inland waters; effluent/sewage/scheduled waste laws may be triggered depending on discharge or waste. </t>
  </si>
  <si>
    <t xml:space="preserve">EQA Clean Air, Industrial Effluent/Sewage and general pollution controls may apply where activities impact nearby receptors. </t>
  </si>
  <si>
    <t xml:space="preserve">EQA Prescribed Activities / EIA Order applies where land clearing or earthwork meets prescribed activity thresholds; CDM applies if construction work is involved. </t>
  </si>
  <si>
    <t>Contractor OSH control, induction, supervision and risk assessment are required.</t>
  </si>
  <si>
    <t>OSH protection, training and supervision shall include foreign workers.</t>
  </si>
  <si>
    <t>Age restriction, supervision and unsuitable hazardous work control shall be assessed.</t>
  </si>
  <si>
    <t>CDM client/contractor duties, construction phase plan and site controls shall be assessed.</t>
  </si>
  <si>
    <t>PTW system shall be applied for identified high-risk work.</t>
  </si>
  <si>
    <t>Work-at-height risk control shall be assessed.</t>
  </si>
  <si>
    <t>Confined-space assessment, entry control and emergency arrangement shall be assessed.</t>
  </si>
  <si>
    <t>Lifting risk, competency and CF requirement shall be assessed.</t>
  </si>
  <si>
    <t>Hot work, fire control and fume exposure control shall be assessed.</t>
  </si>
  <si>
    <t>Pressure vessel/pressurised system CF and safe operation shall be assessed.</t>
  </si>
  <si>
    <t>Traffic route, operator competency and mobile machinery control shall be assessed.</t>
  </si>
  <si>
    <t>Manual handling and ergonomic risk control shall be assessed.</t>
  </si>
  <si>
    <t>Maintenance isolation, servicing control and competency shall be assessed.</t>
  </si>
  <si>
    <t>Chemical register, SDS, CHRA and exposure control shall be assessed.</t>
  </si>
  <si>
    <t>Fire, chemical storage and emergency control shall be assessed.</t>
  </si>
  <si>
    <t>Pesticide legality, labelling, SDS and exposure control shall be assessed.</t>
  </si>
  <si>
    <t>Scheduled waste storage, labelling, inventory and disposal control shall be assessed.</t>
  </si>
  <si>
    <t>Compressed gas hazard and any CF requirement shall be assessed.</t>
  </si>
  <si>
    <t>Fuel storage permit/control, spill prevention and fire risk shall be assessed.</t>
  </si>
  <si>
    <t>Air emission source, monitoring and emission limit control shall be assessed.</t>
  </si>
  <si>
    <t>Effluent treatment, discharge standard and monitoring shall be assessed.</t>
  </si>
  <si>
    <t>Sewage treatment, discharge standard and maintenance shall be assessed.</t>
  </si>
  <si>
    <t>DOE scheduled waste management requirement shall be assessed.</t>
  </si>
  <si>
    <t>Noise risk assessment and hearing conservation need shall be assessed.</t>
  </si>
  <si>
    <t>Environmental spill/leakage and chemical hazard control shall be assessed.</t>
  </si>
  <si>
    <t>Biological hazard, maintenance and discharge control shall be assessed.</t>
  </si>
  <si>
    <t>NRA and hearing conservation programme shall be assessed.</t>
  </si>
  <si>
    <t>CHRA, exposure monitoring and control measures shall be assessed.</t>
  </si>
  <si>
    <t>Heat stress risk control shall be assessed.</t>
  </si>
  <si>
    <t>IAQ/ventilation and comfort concern shall be assessed.</t>
  </si>
  <si>
    <t>Ergonomic risk assessment/control shall be assessed.</t>
  </si>
  <si>
    <t>Fire Certificate / fire safety requirement shall be assessed.</t>
  </si>
  <si>
    <t>FC requirement shall be assessed based on building category/threshold.</t>
  </si>
  <si>
    <t>FC requirement shall be assessed.</t>
  </si>
  <si>
    <t>FC/fire safety requirement shall be assessed.</t>
  </si>
  <si>
    <t>Pressure vessel CF requirement shall be assessed.</t>
  </si>
  <si>
    <t>Lifting machinery CF requirement shall be assessed.</t>
  </si>
  <si>
    <t>Generator safety and emission control shall be assessed.</t>
  </si>
  <si>
    <t>Diesel storage permit/control and spill/fire risk shall be assessed.</t>
  </si>
  <si>
    <t>Scheduled waste storage requirement shall be assessed.</t>
  </si>
  <si>
    <t>Chimney/stack emission control shall be assessed.</t>
  </si>
  <si>
    <t>Steam boiler CF and competent operation shall be assessed.</t>
  </si>
  <si>
    <t>IETS operation, monitoring and discharge compliance shall be assessed.</t>
  </si>
  <si>
    <t>STP operation, monitoring and discharge compliance shall be assessed.</t>
  </si>
  <si>
    <t>Septic tank/sewerage maintenance and desludging requirement shall be assessed.</t>
  </si>
  <si>
    <t>Traffic management, operator competency and vehicle control shall be assessed.</t>
  </si>
  <si>
    <t>Cooling tower biological hazard and water/discharge control shall be assessed.</t>
  </si>
  <si>
    <t>LPG storage control, permit need and fire risk shall be assessed.</t>
  </si>
  <si>
    <t>Refrigerant handling and environmental compliance shall be assessed.</t>
  </si>
  <si>
    <t>Work-related road transport safety shall be assessed.</t>
  </si>
  <si>
    <t>Hazard communication, transport safety and spill response shall be assessed.</t>
  </si>
  <si>
    <t>Forklift/material handling risk and competency shall be assessed.</t>
  </si>
  <si>
    <t>Environmental sensitivity and water pollution prevention shall be assessed.</t>
  </si>
  <si>
    <t>Noise, air, odour and wastewater impact to neighbours shall be assessed.</t>
  </si>
  <si>
    <t>EIA screening and construction/environmental controls shall be assessed.</t>
  </si>
  <si>
    <t>OSH Coordinator / SHC requirement shall be assessed based on worker count.</t>
  </si>
  <si>
    <t>NRA/hearing conservation trigger is not confirmed.</t>
  </si>
  <si>
    <t>FC trigger for this premise type is not confirmed.</t>
  </si>
  <si>
    <t>FC trigger for office building is not confirmed.</t>
  </si>
  <si>
    <t>FC trigger for shop/retail is not confirmed.</t>
  </si>
  <si>
    <t>FC trigger for factory is not confirmed.</t>
  </si>
  <si>
    <t>FC trigger for assembly premises is not confirmed.</t>
  </si>
  <si>
    <t>FC trigger for warehouse is not confirmed.</t>
  </si>
  <si>
    <t>FC trigger for underground car park is not confirmed.</t>
  </si>
  <si>
    <t>CF trigger is not confirmed.</t>
  </si>
  <si>
    <t>Lifting machinery CF trigger is not confirmed.</t>
  </si>
  <si>
    <t>Steam boiler CF trigger is not confirmed.</t>
  </si>
  <si>
    <t>Pressure vessel CF trigger is not confirmed.</t>
  </si>
  <si>
    <t>OSH Coordinator / SHC threshold is not required.</t>
  </si>
  <si>
    <t>Contractor-specific control is not applied.</t>
  </si>
  <si>
    <t>Foreign-worker-specific control is not applied.</t>
  </si>
  <si>
    <t>Young-worker/apprentice control is not applied.</t>
  </si>
  <si>
    <t>CDM construction-specific requirements are not applied.</t>
  </si>
  <si>
    <t>PTW-specific control is not applied.</t>
  </si>
  <si>
    <t>Work-at-height control is not applied.</t>
  </si>
  <si>
    <t>Confined-space control is not applied.</t>
  </si>
  <si>
    <t>Lifting-operation control is not applied.</t>
  </si>
  <si>
    <t>Hot-work-specific control is not applied.</t>
  </si>
  <si>
    <t>Pressure-system CF control is not applied.</t>
  </si>
  <si>
    <t>Mobile machinery control is not applied.</t>
  </si>
  <si>
    <t>Manual-handling control is not applied.</t>
  </si>
  <si>
    <t>Maintenance-specific control is not applied.</t>
  </si>
  <si>
    <t>Hazardous chemical control is not applied.</t>
  </si>
  <si>
    <t>Flammable/combustible storage control is not applied.</t>
  </si>
  <si>
    <t>Pesticide-specific control is not applied.</t>
  </si>
  <si>
    <t>Scheduled waste control is not applied.</t>
  </si>
  <si>
    <t>Compressed gas control is not applied.</t>
  </si>
  <si>
    <t>Fuel storage control is not applied.</t>
  </si>
  <si>
    <t>Air emission control is not applied.</t>
  </si>
  <si>
    <t>Industrial effluent control is not applied.</t>
  </si>
  <si>
    <t>Sewage treatment plant control is not applied.</t>
  </si>
  <si>
    <t>DOE scheduled waste requirement is not applied.</t>
  </si>
  <si>
    <t>Noise exposure control is not applied.</t>
  </si>
  <si>
    <t>Environmentally hazardous substance control is not applied.</t>
  </si>
  <si>
    <t>Cooling tower/water system control is not applied.</t>
  </si>
  <si>
    <t>Chemical exposure control is not applied.</t>
  </si>
  <si>
    <t>Heat stress control is not applied.</t>
  </si>
  <si>
    <t>IAQ-specific concern is not applied.</t>
  </si>
  <si>
    <t>Ergonomic control is not applied.</t>
  </si>
  <si>
    <t>Generator-specific control is not applied.</t>
  </si>
  <si>
    <t>Diesel storage control is not applied.</t>
  </si>
  <si>
    <t>Scheduled waste store requirement is not applied.</t>
  </si>
  <si>
    <t>Chimney/stack emission control is not applied.</t>
  </si>
  <si>
    <t>Wastewater treatment plant control is not applied.</t>
  </si>
  <si>
    <t>STP control is not applied.</t>
  </si>
  <si>
    <t>Septic tank/sewerage control is not applied.</t>
  </si>
  <si>
    <t>Industrial vehicle control is not applied.</t>
  </si>
  <si>
    <t>Cooling tower control is not applied.</t>
  </si>
  <si>
    <t>LPG storage control is not applied.</t>
  </si>
  <si>
    <t>Refrigerant management control is not applied.</t>
  </si>
  <si>
    <t>Company vehicle operation control is not applied.</t>
  </si>
  <si>
    <t>Hazardous material transport control is not applied.</t>
  </si>
  <si>
    <t>Forklift/material handling control is not applied.</t>
  </si>
  <si>
    <t>River/water-body sensitivity control is not applied.</t>
  </si>
  <si>
    <t>Residential receptor sensitivity control is not applied.</t>
  </si>
  <si>
    <t>EIA/earthwork-specific control is not applied.</t>
  </si>
  <si>
    <t>SSS legal trigger is not applied; keep as internal threshold only if required by PLUS.</t>
  </si>
  <si>
    <t>Noise Exposure Reg. applies where workers may be exposed to excessive noise from electrical tools, powered machinery, vehicles or equipment. Noise Risk Assessment (NRA) must be conducted.</t>
  </si>
  <si>
    <t>annual Noise Risk Identification (NRI) only</t>
  </si>
  <si>
    <t xml:space="preserve">Fire Services Act 1988 requires Fire Certificate for designated premises; </t>
  </si>
  <si>
    <t>Plant Requiring Certificate of Fitness Regulations 2024</t>
  </si>
  <si>
    <t>EQA Clean Air Regulations may apply to generator exhaust</t>
  </si>
  <si>
    <t>Environmental Quality (Scheduled Wastes) Regulations 2005.</t>
  </si>
  <si>
    <t>Plant Requiring Certificate of Fitness Regulations 2024.</t>
  </si>
  <si>
    <t xml:space="preserve">Plant Requiring Certificate of Fitness Regulations 2024. </t>
  </si>
  <si>
    <t>LPG is listed as a controlled good under Supply Control Regulations; OSHA controls apply for fire/explosion and handling risk.</t>
  </si>
  <si>
    <t>EQ (Refrigerant Management) Regulations 2020 replace the 1999 regulation.</t>
  </si>
  <si>
    <t>SSS appointment</t>
  </si>
  <si>
    <t>SHO appointment letter, competency certificate, training certificate, job description</t>
  </si>
  <si>
    <t>7. Under class of industry require to employ SHO</t>
  </si>
  <si>
    <t xml:space="preserve">OSHA 1994 Section 29 requires the appointment of SHO at workplace; Based on SHO Order 1997. </t>
  </si>
  <si>
    <t xml:space="preserve">OSHA 1994 Section 29 requires the appointment of SHO at workplace; Class of industry are based on SHO Order 1997. </t>
  </si>
  <si>
    <t>SHO shall be employed.</t>
  </si>
  <si>
    <t>SHO appointment is not applied.</t>
  </si>
  <si>
    <t>Section 29 - Appointment of Safety and Health Officer</t>
  </si>
  <si>
    <t>Matrix</t>
  </si>
  <si>
    <t>1. OSHA</t>
  </si>
  <si>
    <t>2. Cidb</t>
  </si>
  <si>
    <t>3. Transport icop</t>
  </si>
  <si>
    <t>4. Pest labelling</t>
  </si>
  <si>
    <t>5. Pesticide act</t>
  </si>
  <si>
    <t>6. Wsia</t>
  </si>
  <si>
    <t>7. Sewarage system rules</t>
  </si>
  <si>
    <t>8. sewerage services act</t>
  </si>
  <si>
    <t>9. Class</t>
  </si>
  <si>
    <t>10. Nadopod</t>
  </si>
  <si>
    <t>11. Usechh</t>
  </si>
  <si>
    <t>12. Noise</t>
  </si>
  <si>
    <t>13. shc</t>
  </si>
  <si>
    <t>14. Cf</t>
  </si>
  <si>
    <t>15. Cdm</t>
  </si>
  <si>
    <t>17. Clean air</t>
  </si>
  <si>
    <t>18. Fsa</t>
  </si>
  <si>
    <t>19. Fc</t>
  </si>
  <si>
    <t>20. Effluent</t>
  </si>
  <si>
    <t>21. Sewage</t>
  </si>
  <si>
    <t>22. Diesel petrol</t>
  </si>
  <si>
    <t>23. Emission diesel</t>
  </si>
  <si>
    <t>24. Sw</t>
  </si>
  <si>
    <t>25. Solid waste</t>
  </si>
  <si>
    <t>26. Refrigerant</t>
  </si>
  <si>
    <t>Q1</t>
  </si>
  <si>
    <t>Q2</t>
  </si>
  <si>
    <t>Q3</t>
  </si>
  <si>
    <t>Q4</t>
  </si>
  <si>
    <t>Q5</t>
  </si>
  <si>
    <t>Q6</t>
  </si>
  <si>
    <t>Q7</t>
  </si>
  <si>
    <t>Q8</t>
  </si>
  <si>
    <t>Q9</t>
  </si>
  <si>
    <t>Q10</t>
  </si>
  <si>
    <t>Q11</t>
  </si>
  <si>
    <t>Q12</t>
  </si>
  <si>
    <t>Q13</t>
  </si>
  <si>
    <t>Q14</t>
  </si>
  <si>
    <t>Q15</t>
  </si>
  <si>
    <t>Q16</t>
  </si>
  <si>
    <t>Q17</t>
  </si>
  <si>
    <t>Q18</t>
  </si>
  <si>
    <t>Q19</t>
  </si>
  <si>
    <t>Q20</t>
  </si>
  <si>
    <t>Q21</t>
  </si>
  <si>
    <t>Q22</t>
  </si>
  <si>
    <t>Q23</t>
  </si>
  <si>
    <t>Q24</t>
  </si>
  <si>
    <t>Q25</t>
  </si>
  <si>
    <t>Q26</t>
  </si>
  <si>
    <t>Q27</t>
  </si>
  <si>
    <t>Q28</t>
  </si>
  <si>
    <t>Q29</t>
  </si>
  <si>
    <t>Q30</t>
  </si>
  <si>
    <t>Q31</t>
  </si>
  <si>
    <t>Q32</t>
  </si>
  <si>
    <t>Q33</t>
  </si>
  <si>
    <t>Q34</t>
  </si>
  <si>
    <t>Q35</t>
  </si>
  <si>
    <t>Q36</t>
  </si>
  <si>
    <t>Q37</t>
  </si>
  <si>
    <t>Q38</t>
  </si>
  <si>
    <t>Q39</t>
  </si>
  <si>
    <t>Q40</t>
  </si>
  <si>
    <t>Q41</t>
  </si>
  <si>
    <t>Q42</t>
  </si>
  <si>
    <t>Q43</t>
  </si>
  <si>
    <t>Q44</t>
  </si>
  <si>
    <t>Q45</t>
  </si>
  <si>
    <t>X</t>
  </si>
  <si>
    <t>27. Supplies control</t>
  </si>
  <si>
    <t>x</t>
  </si>
  <si>
    <t>16. EQA</t>
  </si>
  <si>
    <t>Environmental Quality (Sewage) Regulations 2009</t>
  </si>
  <si>
    <t>The owner or occupier shall control pollution from leachate, noise, dust, odour, air pollution, soil pollution, surface water pollution and groundwater pollution.</t>
  </si>
  <si>
    <t>The activities shall be complied with.</t>
  </si>
  <si>
    <t>This regulation is not applicable</t>
  </si>
  <si>
    <t>EOSP training register, list of workers, valid EOSP card copy, site access record</t>
  </si>
  <si>
    <t>Method statement, HIRARC / risk assessment, traffic management plan, site safety briefing record</t>
  </si>
  <si>
    <t>Training syllabus, attendance record, OSH procedure, environmental procedure, highway work SOP</t>
  </si>
  <si>
    <t>Worker competency list, valid EOSP card copy, contractor pre-mobilisation checklist</t>
  </si>
  <si>
    <t>Ensure all personnel directly involved in highway construction, operation, maintenance or related activities possess valid EOSP.</t>
  </si>
  <si>
    <t>Ensure required personnel attend EOSP training, obtain EOSP card before starting work, and renew the card every 3 years.</t>
  </si>
  <si>
    <t>Ensure EOSP card holders comply with site safety requirements, including PPE, competency, suitable equipment, safe work method, incident reporting and carrying valid EOSP card at all times.</t>
  </si>
  <si>
    <t>Monitor EOSP compliance at site and take action against non-compliance, including QR verification, removal from site, work stoppage, and blacklisting for repeated violations.</t>
  </si>
  <si>
    <t>8. Work activities carried out at operating highway areas or within highway reserve.</t>
  </si>
  <si>
    <t>Rules under MHA: Ensure highway workers hold valid EOSP and comply with site safety rules.</t>
  </si>
  <si>
    <t>All workers must hold a valid Expressway Operation Safety Passport (EOSP).</t>
  </si>
  <si>
    <t>9. Use of electrical tools, powered machinery, vehicles or equipment</t>
  </si>
  <si>
    <t>10. Work at height activities (≥2 meters)</t>
  </si>
  <si>
    <t>11. Confined space activities</t>
  </si>
  <si>
    <t>12. Lifting operations (cranes, hoists, forklifts)</t>
  </si>
  <si>
    <t>13. Welding, cutting, or hot work activities</t>
  </si>
  <si>
    <t>14. Use of pressure equipment or pressurised systems</t>
  </si>
  <si>
    <t>15. Operation of mobile machinery or industrial vehicles</t>
  </si>
  <si>
    <t>16. Manual handling of heavy loads</t>
  </si>
  <si>
    <t>17. Maintenance or servicing activities involving equipment or machinery</t>
  </si>
  <si>
    <t>18. Utilisation of hazardous chemicals (including fumes) at workplace</t>
  </si>
  <si>
    <t>19. Storage of flammable or combustible substances</t>
  </si>
  <si>
    <t>21. Generation of scheduled waste (e.g., oil, solvent, chemical waste)</t>
  </si>
  <si>
    <t>22. Use of compressed gas cylinders</t>
  </si>
  <si>
    <t>23. Storage of diesel, fuel or petroleum products</t>
  </si>
  <si>
    <t>24. Generation of air emissions (chimney, stack, generator exhaust)</t>
  </si>
  <si>
    <t>25. Discharge of wastewater or industrial effluent</t>
  </si>
  <si>
    <t>26. Operation of sewage treatment plant</t>
  </si>
  <si>
    <t>27. Generation of scheduled waste under DOE regulations</t>
  </si>
  <si>
    <t>28. Generation of noise from machinery or process</t>
  </si>
  <si>
    <t>29. Storage of environmentally hazardous substances</t>
  </si>
  <si>
    <t>30. Use of cooling towers or water systems</t>
  </si>
  <si>
    <t>31. Workers exposed to noise &gt;85 dB(A)</t>
  </si>
  <si>
    <t>32. Workers exposed to chemical vapour, dust, or fumes</t>
  </si>
  <si>
    <t>33. Workers exposed to heat stress</t>
  </si>
  <si>
    <t>34. Indoor air quality concerns (air-conditioned workplace)</t>
  </si>
  <si>
    <t>35. Ergonomic risk activities</t>
  </si>
  <si>
    <t>36. Tick which applicable:</t>
  </si>
  <si>
    <t>38. Use of company vehicles for operations</t>
  </si>
  <si>
    <t>39. Transportation of hazardous materials</t>
  </si>
  <si>
    <t>40. Operation of forklifts or material handling vehicles</t>
  </si>
  <si>
    <t>41. Premise located near river or water body</t>
  </si>
  <si>
    <t>42. Premise located near residential area</t>
  </si>
  <si>
    <t>43. Activities involving land clearing or earthwork</t>
  </si>
  <si>
    <t>44. Operation of solid waste transfer station or landfill</t>
  </si>
  <si>
    <t>MHA; Panduan Perlaksanaan EOSP bagi Syarikat Konsesi dan Pihak Ketiga</t>
  </si>
  <si>
    <t>Section 33 – Applicable and comply with licence conditions for sewerage activities.</t>
  </si>
  <si>
    <t>I. Transportation &amp; Logistics</t>
  </si>
  <si>
    <t>J. Land &amp; Environmental Sensitivity</t>
  </si>
  <si>
    <t>Reg.22 - Provide adequate information, instruction and training to employees exposed or likely to be exposed to chemicals hazardous to health (at least once in 2 years).</t>
  </si>
  <si>
    <t>Section Office C3</t>
  </si>
  <si>
    <t>Section Office C4</t>
  </si>
  <si>
    <t xml:space="preserve">Section Office S2 </t>
  </si>
  <si>
    <t xml:space="preserve">Section Office S3 </t>
  </si>
  <si>
    <t xml:space="preserve">Section Office N3N7&amp;N6 </t>
  </si>
  <si>
    <t>Section Office N4&amp;N5</t>
  </si>
  <si>
    <t>Routine Maintenance Civil</t>
  </si>
  <si>
    <t>Maintenance &amp; Asset Management</t>
  </si>
  <si>
    <t>Workplace is plant?</t>
  </si>
  <si>
    <t>NA</t>
  </si>
  <si>
    <t>Supervision, Training &amp; Instruction,PPE provided</t>
  </si>
  <si>
    <t>DASHBOARD INPUT &amp; FORMULA GUIDE</t>
  </si>
  <si>
    <t>Single worksheet to explain and feed the A4 Legal Compliance Dashboard using Excel-compatible formulas. Yellow cells are recommended manual inputs; formula cells are generated from legal tabs and Action_Tracker.</t>
  </si>
  <si>
    <t>Input Item</t>
  </si>
  <si>
    <t>Input Cell</t>
  </si>
  <si>
    <t>User Entry / Formula</t>
  </si>
  <si>
    <t>Example / Default</t>
  </si>
  <si>
    <t>Formula Involved</t>
  </si>
  <si>
    <t>How it feeds the dashboard</t>
  </si>
  <si>
    <t>Dashboard Title</t>
  </si>
  <si>
    <t>C5</t>
  </si>
  <si>
    <t>LEGAL COMPLIANCE DASHBOARD</t>
  </si>
  <si>
    <t>CONCATENATE</t>
  </si>
  <si>
    <t>Shown as management reporting title.</t>
  </si>
  <si>
    <t>Project / Checklist Name</t>
  </si>
  <si>
    <t>C6</t>
  </si>
  <si>
    <t>Project CORE 360 Legal Evaluation and Assessment</t>
  </si>
  <si>
    <t>Used in dashboard subtitle / report context.</t>
  </si>
  <si>
    <t>Assessment Scope / Workplace</t>
  </si>
  <si>
    <t>C7</t>
  </si>
  <si>
    <t>All Sites</t>
  </si>
  <si>
    <t>Direct cell reference</t>
  </si>
  <si>
    <t>Shown in header and At a Glance.</t>
  </si>
  <si>
    <t>C8</t>
  </si>
  <si>
    <t>Used to define assessed area.</t>
  </si>
  <si>
    <t>Assessment Date</t>
  </si>
  <si>
    <t>C9</t>
  </si>
  <si>
    <t>TODAY, IF</t>
  </si>
  <si>
    <t>Shows latest assessment or dashboard refresh date.</t>
  </si>
  <si>
    <t>Assessed By</t>
  </si>
  <si>
    <t>C10</t>
  </si>
  <si>
    <t>HSSE Department</t>
  </si>
  <si>
    <t>Identifies responsible reviewer.</t>
  </si>
  <si>
    <t>Management Target</t>
  </si>
  <si>
    <t>C11</t>
  </si>
  <si>
    <t>95%</t>
  </si>
  <si>
    <t>IF</t>
  </si>
  <si>
    <t>Target used to classify Maintain / Improve Compliance.</t>
  </si>
  <si>
    <t>Due Soon Threshold</t>
  </si>
  <si>
    <t>C12</t>
  </si>
  <si>
    <t>7 days</t>
  </si>
  <si>
    <t>IF, COUNTIFS</t>
  </si>
  <si>
    <t>Used to monitor actions due within selected days.</t>
  </si>
  <si>
    <t>DASHBOARD DATA SOURCE MAP</t>
  </si>
  <si>
    <t>Dashboard Section</t>
  </si>
  <si>
    <t>Data Required</t>
  </si>
  <si>
    <t>User Input Location</t>
  </si>
  <si>
    <t>Formula / Function Involved</t>
  </si>
  <si>
    <t>Formula Result Location</t>
  </si>
  <si>
    <t>Explanation for Top Management</t>
  </si>
  <si>
    <t>Compliance Status</t>
  </si>
  <si>
    <t>Comply, Not Comply, Pending, NA count</t>
  </si>
  <si>
    <t>Legal requirement tabs: Column C and Column F</t>
  </si>
  <si>
    <t>COUNTIF, COUNTIFS, IF</t>
  </si>
  <si>
    <t>Dashboard_Input rows 18-44 and Compliance Status section</t>
  </si>
  <si>
    <t>Shows overall completion of legal evaluation and where attention is still required.</t>
  </si>
  <si>
    <t>Status by Legal Area</t>
  </si>
  <si>
    <t>Status count for each legal area</t>
  </si>
  <si>
    <t>Legal requirement tabs + Legal Area Group</t>
  </si>
  <si>
    <t>COUNTIF, COUNTIFS, IF, CONCATENATE</t>
  </si>
  <si>
    <t>Dashboard_Input rows 18-44</t>
  </si>
  <si>
    <t>Shows which law/category has more applicable requirements, gaps or pending evaluation.</t>
  </si>
  <si>
    <t>Priority Legal Area for Review</t>
  </si>
  <si>
    <t>Top legal areas based on non-compliance and pending items</t>
  </si>
  <si>
    <t>Formula-generated score; Key Issue manually described</t>
  </si>
  <si>
    <t>LARGE, INDEX, MATCH, VLOOKUP, IF</t>
  </si>
  <si>
    <t>Dashboard_Input Priority Review section</t>
  </si>
  <si>
    <t>Helps management focus on the highest risk legal areas first.</t>
  </si>
  <si>
    <t>Action Monitoring</t>
  </si>
  <si>
    <t>Open, due soon, overdue, closed actions</t>
  </si>
  <si>
    <t>Action_Tracker columns G, H and I</t>
  </si>
  <si>
    <t>COUNTIF, COUNTIFS, TODAY, IF</t>
  </si>
  <si>
    <t>Dashboard_Input Action Monitoring section</t>
  </si>
  <si>
    <t>Proves compliance is monitored by action owner, due date, status and closure evidence.</t>
  </si>
  <si>
    <t>Way Forward</t>
  </si>
  <si>
    <t>Management direction based on status</t>
  </si>
  <si>
    <t>Generated from compliance status and action status</t>
  </si>
  <si>
    <t>IF, AND, OR, CONCATENATE</t>
  </si>
  <si>
    <t>Dashboard_Input Way Forward section</t>
  </si>
  <si>
    <t>Converts dashboard numbers into practical actions for maintaining or improving compliance.</t>
  </si>
  <si>
    <t>At a Glance</t>
  </si>
  <si>
    <t>Management summary KPIs</t>
  </si>
  <si>
    <t>Dashboard_Input formulas and manual input cells</t>
  </si>
  <si>
    <t>SUM, IF, COUNTIF, VLOOKUP</t>
  </si>
  <si>
    <t>Dashboard_Input At a Glance section</t>
  </si>
  <si>
    <t>Gives simple one-page summary for management review.</t>
  </si>
  <si>
    <t>LEGAL AREA FORMULA FEED — MAIN INPUT FOR DASHBOARD DATA</t>
  </si>
  <si>
    <t>Legal Area</t>
  </si>
  <si>
    <t>Group</t>
  </si>
  <si>
    <t>Requirement Range</t>
  </si>
  <si>
    <t>Applicability Range</t>
  </si>
  <si>
    <t>Compliance Range</t>
  </si>
  <si>
    <t>Total Requirements</t>
  </si>
  <si>
    <t>Not Applicable / NA</t>
  </si>
  <si>
    <t>Comply</t>
  </si>
  <si>
    <t>Not Comply</t>
  </si>
  <si>
    <t>Pending Evaluation</t>
  </si>
  <si>
    <t>Compliance Rate</t>
  </si>
  <si>
    <t>Evaluation Completion</t>
  </si>
  <si>
    <t>Dashboard Status</t>
  </si>
  <si>
    <t>Priority Score</t>
  </si>
  <si>
    <t>Dashboard Label</t>
  </si>
  <si>
    <t>Input / Interpretation Note</t>
  </si>
  <si>
    <t>OSHA</t>
  </si>
  <si>
    <t>Safety &amp; Health</t>
  </si>
  <si>
    <t>'OSHA'!B4:B29</t>
  </si>
  <si>
    <t>'OSHA'!C4:C29</t>
  </si>
  <si>
    <t>'OSHA'!F4:F29</t>
  </si>
  <si>
    <t>User feeds Applicability in column C and Compliance result in column F of this legal tab.</t>
  </si>
  <si>
    <t>MHA</t>
  </si>
  <si>
    <t>'MHA'!B4:B7</t>
  </si>
  <si>
    <t>'MHA'!C4:C7</t>
  </si>
  <si>
    <t>'MHA'!F4:F7</t>
  </si>
  <si>
    <t>diesel engine</t>
  </si>
  <si>
    <t>Environment</t>
  </si>
  <si>
    <t>'diesel engine'!B4:B16</t>
  </si>
  <si>
    <t>'diesel engine'!C4:C16</t>
  </si>
  <si>
    <t>'diesel engine'!F4:F16</t>
  </si>
  <si>
    <t>solid waste</t>
  </si>
  <si>
    <t>'solid waste'!B4:B26</t>
  </si>
  <si>
    <t>'solid waste'!C4:C26</t>
  </si>
  <si>
    <t>'solid waste'!F4:F26</t>
  </si>
  <si>
    <t>Control of Petrol &amp; Diesel</t>
  </si>
  <si>
    <t>'Control of Petrol &amp; Diesel'!B4:B16</t>
  </si>
  <si>
    <t>'Control of Petrol &amp; Diesel'!C4:C16</t>
  </si>
  <si>
    <t>'Control of Petrol &amp; Diesel'!F4:F16</t>
  </si>
  <si>
    <t>effluent</t>
  </si>
  <si>
    <t>'effluent'!B4:B26</t>
  </si>
  <si>
    <t>'effluent'!C4:C26</t>
  </si>
  <si>
    <t>'effluent'!F4:F26</t>
  </si>
  <si>
    <t>'clean air'!B4:B27</t>
  </si>
  <si>
    <t>'clean air'!C4:C27</t>
  </si>
  <si>
    <t>'clean air'!F4:F27</t>
  </si>
  <si>
    <t>'CF'!B4:B22</t>
  </si>
  <si>
    <t>'CF'!C4:C22</t>
  </si>
  <si>
    <t>'CF'!F4:F22</t>
  </si>
  <si>
    <t>SW</t>
  </si>
  <si>
    <t>'SW'!B4:B18</t>
  </si>
  <si>
    <t>'SW'!C4:C18</t>
  </si>
  <si>
    <t>'SW'!F4:F18</t>
  </si>
  <si>
    <t>WSIA</t>
  </si>
  <si>
    <t>Water / Sewerage</t>
  </si>
  <si>
    <t>'WSIA'!B4:B37</t>
  </si>
  <si>
    <t>'WSIA'!C4:C37</t>
  </si>
  <si>
    <t>'WSIA'!F4:F37</t>
  </si>
  <si>
    <t>USECHH</t>
  </si>
  <si>
    <t>'USECHH'!B4:B31</t>
  </si>
  <si>
    <t>'USECHH'!C4:C31</t>
  </si>
  <si>
    <t>'USECHH'!F4:F31</t>
  </si>
  <si>
    <t>CIDB</t>
  </si>
  <si>
    <t>'CIDB'!B4:B35</t>
  </si>
  <si>
    <t>'CIDB'!C4:C35</t>
  </si>
  <si>
    <t>'CIDB'!F4:F35</t>
  </si>
  <si>
    <t>ICOP Transport</t>
  </si>
  <si>
    <t>'ICOP Transport'!B4:B26</t>
  </si>
  <si>
    <t>'ICOP Transport'!C4:C26</t>
  </si>
  <si>
    <t>'ICOP Transport'!F4:F26</t>
  </si>
  <si>
    <t>pesticides labelling</t>
  </si>
  <si>
    <t>'pesticides labelling'!B4:B23</t>
  </si>
  <si>
    <t>'pesticides labelling'!C4:C23</t>
  </si>
  <si>
    <t>'pesticides labelling'!F4:F23</t>
  </si>
  <si>
    <t>Pesticides</t>
  </si>
  <si>
    <t>'Pesticides'!B4:B20</t>
  </si>
  <si>
    <t>'Pesticides'!C4:C20</t>
  </si>
  <si>
    <t>'Pesticides'!F4:F20</t>
  </si>
  <si>
    <t>sewerage system</t>
  </si>
  <si>
    <t>'sewerage system'!B4:B34</t>
  </si>
  <si>
    <t>'sewerage system'!C4:C34</t>
  </si>
  <si>
    <t>'sewerage system'!F4:F34</t>
  </si>
  <si>
    <t>sewerage</t>
  </si>
  <si>
    <t>'sewerage'!B4:B21</t>
  </si>
  <si>
    <t>'sewerage'!C4:C21</t>
  </si>
  <si>
    <t>'sewerage'!F4:F21</t>
  </si>
  <si>
    <t>CLASS</t>
  </si>
  <si>
    <t>'CLASS'!B4:B20</t>
  </si>
  <si>
    <t>'CLASS'!C4:C20</t>
  </si>
  <si>
    <t>'CLASS'!F4:F20</t>
  </si>
  <si>
    <t>NADOPOD</t>
  </si>
  <si>
    <t>'NADOPOD'!B4:B11</t>
  </si>
  <si>
    <t>'NADOPOD'!C4:C11</t>
  </si>
  <si>
    <t>'NADOPOD'!F4:F11</t>
  </si>
  <si>
    <t>'noise'!B4:B19</t>
  </si>
  <si>
    <t>'noise'!C4:C19</t>
  </si>
  <si>
    <t>'noise'!F4:F19</t>
  </si>
  <si>
    <t>'shc'!B4:B26</t>
  </si>
  <si>
    <t>'shc'!C4:C26</t>
  </si>
  <si>
    <t>'shc'!F4:F26</t>
  </si>
  <si>
    <t>CDM</t>
  </si>
  <si>
    <t>'CDM'!B4:B39</t>
  </si>
  <si>
    <t>'CDM'!C4:C39</t>
  </si>
  <si>
    <t>'CDM'!F4:F39</t>
  </si>
  <si>
    <t>EQA</t>
  </si>
  <si>
    <t>'EQA'!B4:B31</t>
  </si>
  <si>
    <t>'EQA'!C4:C31</t>
  </si>
  <si>
    <t>'EQA'!F4:F31</t>
  </si>
  <si>
    <t>FSA</t>
  </si>
  <si>
    <t>Fire Safety</t>
  </si>
  <si>
    <t>'FSA'!B4:B31</t>
  </si>
  <si>
    <t>'FSA'!C4:C31</t>
  </si>
  <si>
    <t>'FSA'!F4:F31</t>
  </si>
  <si>
    <t>FC</t>
  </si>
  <si>
    <t>'FC'!B4:B29</t>
  </si>
  <si>
    <t>'FC'!C4:C29</t>
  </si>
  <si>
    <t>'FC'!F4:F29</t>
  </si>
  <si>
    <t>sewage</t>
  </si>
  <si>
    <t>'sewage'!B4:B20</t>
  </si>
  <si>
    <t>'sewage'!C4:C20</t>
  </si>
  <si>
    <t>'sewage'!F4:F20</t>
  </si>
  <si>
    <t>refrigerant</t>
  </si>
  <si>
    <t>'refrigerant'!B4:B12</t>
  </si>
  <si>
    <t>'refrigerant'!C4:C12</t>
  </si>
  <si>
    <t>'refrigerant'!F4:F12</t>
  </si>
  <si>
    <t>TOTAL</t>
  </si>
  <si>
    <t>All Areas</t>
  </si>
  <si>
    <t>Overall dashboard summary.</t>
  </si>
  <si>
    <t>COMPLIANCE STATUS — DATA FOR DONUT / KPI STATUS</t>
  </si>
  <si>
    <t>Status</t>
  </si>
  <si>
    <t>Count</t>
  </si>
  <si>
    <t>Percentage</t>
  </si>
  <si>
    <t>Main Formula Involved</t>
  </si>
  <si>
    <t>Dashboard Use</t>
  </si>
  <si>
    <t>Interpretation</t>
  </si>
  <si>
    <t>Input to Feed</t>
  </si>
  <si>
    <t>SUM, IF</t>
  </si>
  <si>
    <t>Green segment / compliant count</t>
  </si>
  <si>
    <t>Applicable requirements already evaluated as comply.</t>
  </si>
  <si>
    <t>Select 'Comply' in legal tab Column F.</t>
  </si>
  <si>
    <t>Red segment / gap count</t>
  </si>
  <si>
    <t>Applicable requirements evaluated as gap/non-compliance.</t>
  </si>
  <si>
    <t>Select 'Not Comply' in legal tab Column F and create action.</t>
  </si>
  <si>
    <t>MAX, SUM, IF</t>
  </si>
  <si>
    <t>Orange segment / pending work</t>
  </si>
  <si>
    <t>Applicable requirements still not evaluated.</t>
  </si>
  <si>
    <t>Complete Column F in legal tabs.</t>
  </si>
  <si>
    <t>COUNTIF, SUM</t>
  </si>
  <si>
    <t>Grey segment / not applicable scope</t>
  </si>
  <si>
    <t>Requirements outside current scope.</t>
  </si>
  <si>
    <t>Applicability generated as Not Applicable or mark NA where justified.</t>
  </si>
  <si>
    <t>PRIORITY LEGAL AREAS FOR REVIEW — MANAGEMENT ATTENTION TABLE</t>
  </si>
  <si>
    <t>Rank</t>
  </si>
  <si>
    <t>Key Issue / Management Comment</t>
  </si>
  <si>
    <t>Current Status</t>
  </si>
  <si>
    <t>Priority</t>
  </si>
  <si>
    <t>Recommended Way Forward</t>
  </si>
  <si>
    <t>Summary Text</t>
  </si>
  <si>
    <t>Complete evaluation for all applicable requirements</t>
  </si>
  <si>
    <t>Verify evidence and close any gap identified</t>
  </si>
  <si>
    <t>Confirm legal ownership and monitoring frequency</t>
  </si>
  <si>
    <t>Review pending actions with process owner</t>
  </si>
  <si>
    <t>Maintain evidence and update compliance status</t>
  </si>
  <si>
    <t>ACTION MONITORING — DATA FROM ACTION_TRACKER</t>
  </si>
  <si>
    <t>Metric</t>
  </si>
  <si>
    <t>Formula Result</t>
  </si>
  <si>
    <t>Formula Logic Used</t>
  </si>
  <si>
    <t>Required Input</t>
  </si>
  <si>
    <t>Owner</t>
  </si>
  <si>
    <t>Target Date</t>
  </si>
  <si>
    <t>Evidence</t>
  </si>
  <si>
    <t>Open Actions</t>
  </si>
  <si>
    <t>COUNTIFS(Required Action not blank + status = Open / In Progress / Not Started)</t>
  </si>
  <si>
    <t>Shows actions still require closure.</t>
  </si>
  <si>
    <t>Action_Tracker: Required Action + Action Status</t>
  </si>
  <si>
    <t>Action owner</t>
  </si>
  <si>
    <t>Target date</t>
  </si>
  <si>
    <t>Evidence / remarks</t>
  </si>
  <si>
    <t>Due Soon Actions</t>
  </si>
  <si>
    <t>COUNTIFS(Required Action not blank + days remaining within threshold + not closed)</t>
  </si>
  <si>
    <t>Shows actions due within selected days.</t>
  </si>
  <si>
    <t>Action_Tracker: Required Action + Target Date + Status</t>
  </si>
  <si>
    <t>Overdue Actions</t>
  </si>
  <si>
    <t>COUNTIFS(Required Action not blank + Action RAG = Overdue)</t>
  </si>
  <si>
    <t>Requires management attention.</t>
  </si>
  <si>
    <t>Action_Tracker: Required Action + Target Date + RAG</t>
  </si>
  <si>
    <t>Closed Actions</t>
  </si>
  <si>
    <t>COUNTIFS(Required Action not blank + status = Closed)</t>
  </si>
  <si>
    <t>Shows closure performance.</t>
  </si>
  <si>
    <t>Closure date</t>
  </si>
  <si>
    <t>Evidence closed</t>
  </si>
  <si>
    <t>Action Resolution Progress</t>
  </si>
  <si>
    <t>IF + COUNTA + COUNTIFS using Required Action column</t>
  </si>
  <si>
    <t>Shows closure progress as percentage.</t>
  </si>
  <si>
    <t>Action_Tracker: Required Action and Status</t>
  </si>
  <si>
    <t>WAY FORWARD — MANAGEMENT DIRECTION LOGIC</t>
  </si>
  <si>
    <t>Trigger</t>
  </si>
  <si>
    <t>Formula Condition</t>
  </si>
  <si>
    <t>Output Message</t>
  </si>
  <si>
    <t>Management Meaning</t>
  </si>
  <si>
    <t>Action Needed</t>
  </si>
  <si>
    <t>Formula Type</t>
  </si>
  <si>
    <t>Non-compliance exists</t>
  </si>
  <si>
    <t>Action Required</t>
  </si>
  <si>
    <t>Legal gap needs corrective action.</t>
  </si>
  <si>
    <t>Assign owner, due date and evidence.</t>
  </si>
  <si>
    <t>Legal tab Column F + Action_Tracker</t>
  </si>
  <si>
    <t>Pending evaluation exists</t>
  </si>
  <si>
    <t>Applicable item has not been evaluated.</t>
  </si>
  <si>
    <t>Complete compliance evaluation.</t>
  </si>
  <si>
    <t>Legal tab Column F</t>
  </si>
  <si>
    <t>Compliance rate meets target</t>
  </si>
  <si>
    <t>Maintain Compliance</t>
  </si>
  <si>
    <t>Current controls are acceptable.</t>
  </si>
  <si>
    <t>Continue monitoring and evidence retention.</t>
  </si>
  <si>
    <t>Compliance status</t>
  </si>
  <si>
    <t>Action overdue</t>
  </si>
  <si>
    <t>Escalate Overdue Action</t>
  </si>
  <si>
    <t>Closure date has passed.</t>
  </si>
  <si>
    <t>Escalate to owner / management.</t>
  </si>
  <si>
    <t>IF, COUNTIF</t>
  </si>
  <si>
    <t>Action_Tracker target date</t>
  </si>
  <si>
    <t>AT A GLANCE — SIMPLE KPI FEED</t>
  </si>
  <si>
    <t>Item</t>
  </si>
  <si>
    <t>Value</t>
  </si>
  <si>
    <t>Dashboard Meaning</t>
  </si>
  <si>
    <t>Source / Input</t>
  </si>
  <si>
    <t>Suggested Display Term</t>
  </si>
  <si>
    <t>Total Requirements Identified</t>
  </si>
  <si>
    <t>SUM</t>
  </si>
  <si>
    <t>Full legal requirement scope identified.</t>
  </si>
  <si>
    <t>Legal tabs Requirement column</t>
  </si>
  <si>
    <t>Applicable Requirements</t>
  </si>
  <si>
    <t>SUM, COUNTIF</t>
  </si>
  <si>
    <t>Requirements that must be evaluated.</t>
  </si>
  <si>
    <t>Applicability status</t>
  </si>
  <si>
    <t>IF, SUM</t>
  </si>
  <si>
    <t>Comply divided by applicable requirements.</t>
  </si>
  <si>
    <t>MAX, SUM</t>
  </si>
  <si>
    <t>Applicable requirements not yet assessed.</t>
  </si>
  <si>
    <t>Compliance status blank</t>
  </si>
  <si>
    <t>Non-Compliant Items</t>
  </si>
  <si>
    <t>SUM, COUNTIFS</t>
  </si>
  <si>
    <t>Gaps requiring action.</t>
  </si>
  <si>
    <t>Not Comply status</t>
  </si>
  <si>
    <t>COUNTIF</t>
  </si>
  <si>
    <t>Actions past due date.</t>
  </si>
  <si>
    <t>Action_Tracker RAG</t>
  </si>
  <si>
    <t>Assessment Scope</t>
  </si>
  <si>
    <t>Direct reference</t>
  </si>
  <si>
    <t>Scope being reported to management.</t>
  </si>
  <si>
    <t>Manual input C7</t>
  </si>
  <si>
    <t>FORMULA GLOSSARY — WHAT EACH FORMULA DOES</t>
  </si>
  <si>
    <t>Formula</t>
  </si>
  <si>
    <t>Purpose in Dashboard</t>
  </si>
  <si>
    <t>Example Use</t>
  </si>
  <si>
    <t>Why Needed</t>
  </si>
  <si>
    <t>User Input Dependency</t>
  </si>
  <si>
    <t>Output</t>
  </si>
  <si>
    <t>Counts one condition.</t>
  </si>
  <si>
    <t>Count Applicable items.</t>
  </si>
  <si>
    <t>Simple count by status.</t>
  </si>
  <si>
    <t>Applicability / action status.</t>
  </si>
  <si>
    <t>Number</t>
  </si>
  <si>
    <t>COUNTIFS</t>
  </si>
  <si>
    <t>Counts multiple conditions.</t>
  </si>
  <si>
    <t>Applicable + Comply only.</t>
  </si>
  <si>
    <t>Avoid counting NA or blank rows.</t>
  </si>
  <si>
    <t>Applicability + compliance status.</t>
  </si>
  <si>
    <t>Classifies status based on rules.</t>
  </si>
  <si>
    <t>If Not Comply &gt; 0, Action Required.</t>
  </si>
  <si>
    <t>Converts numbers into management message.</t>
  </si>
  <si>
    <t>Dashboard totals.</t>
  </si>
  <si>
    <t>Text / number</t>
  </si>
  <si>
    <t>VLOOKUP</t>
  </si>
  <si>
    <t>Pulls group/status from table.</t>
  </si>
  <si>
    <t>Get Group for selected Legal Area.</t>
  </si>
  <si>
    <t>Avoid manual re-keying in priority table.</t>
  </si>
  <si>
    <t>Legal Area name.</t>
  </si>
  <si>
    <t>Mapped value</t>
  </si>
  <si>
    <t>INDEX + MATCH</t>
  </si>
  <si>
    <t>Pulls top ranked legal area.</t>
  </si>
  <si>
    <t>Find legal area with highest score.</t>
  </si>
  <si>
    <t>Used for priority ranking.</t>
  </si>
  <si>
    <t>Priority score.</t>
  </si>
  <si>
    <t>Legal area</t>
  </si>
  <si>
    <t>LARGE</t>
  </si>
  <si>
    <t>Sorts priority score high to low.</t>
  </si>
  <si>
    <t>Top 5 legal areas.</t>
  </si>
  <si>
    <t>Supports priority list.</t>
  </si>
  <si>
    <t>Ranked number</t>
  </si>
  <si>
    <t>Combines text into readable message.</t>
  </si>
  <si>
    <t>Legal Area - Status.</t>
  </si>
  <si>
    <t>Creates management-friendly labels.</t>
  </si>
  <si>
    <t>Legal area + status.</t>
  </si>
  <si>
    <t>Text</t>
  </si>
  <si>
    <t>TODAY</t>
  </si>
  <si>
    <t>Updates current date.</t>
  </si>
  <si>
    <t>Calculate days remaining.</t>
  </si>
  <si>
    <t>Supports due soon / overdue monitoring.</t>
  </si>
  <si>
    <t>Target date.</t>
  </si>
  <si>
    <t>Current date</t>
  </si>
  <si>
    <t>Compliance Action Tracker</t>
  </si>
  <si>
    <t>Action ID</t>
  </si>
  <si>
    <t>Source Law / Requirement</t>
  </si>
  <si>
    <t>Finding Type</t>
  </si>
  <si>
    <t>Action Status</t>
  </si>
  <si>
    <t>Days Remaining</t>
  </si>
  <si>
    <t>Evidence / Remarks</t>
  </si>
  <si>
    <t>Compliance %</t>
  </si>
  <si>
    <t>Evaluation Completion %</t>
  </si>
  <si>
    <t>Assessment Information</t>
  </si>
  <si>
    <t>Overall Status</t>
  </si>
  <si>
    <t>Management Direction</t>
  </si>
  <si>
    <t>Requirement Evaluation Summary</t>
  </si>
  <si>
    <t>Action Monitoring Summary</t>
  </si>
  <si>
    <t>Total Legal Requirements</t>
  </si>
  <si>
    <t>Scope identified</t>
  </si>
  <si>
    <t>Still require closure</t>
  </si>
  <si>
    <t>Must be evaluated</t>
  </si>
  <si>
    <t>Needs management attention</t>
  </si>
  <si>
    <t>Reason retained if required</t>
  </si>
  <si>
    <t>Due Soon</t>
  </si>
  <si>
    <t>Due within 7 days</t>
  </si>
  <si>
    <t>Comply + Not Comply / Applicable</t>
  </si>
  <si>
    <t>How Compliance Is Monitored</t>
  </si>
  <si>
    <t>3. Dashboard_Data consolidates all law tabs into totals, compliance rate and pending evaluation.</t>
  </si>
  <si>
    <t>Priority Legal Areas for Management Review</t>
  </si>
  <si>
    <t>No.</t>
  </si>
  <si>
    <t>Pending</t>
  </si>
  <si>
    <t>Completion %</t>
  </si>
  <si>
    <t>Clean Air Reg</t>
  </si>
  <si>
    <t>CF Reg</t>
  </si>
  <si>
    <t>Noise Reg.</t>
  </si>
  <si>
    <t>SHC Reg.</t>
  </si>
  <si>
    <t>Assessment Date:</t>
  </si>
  <si>
    <t>Assessment Scope:</t>
  </si>
  <si>
    <t>Main Navigation Terminal</t>
  </si>
  <si>
    <t>System Owner:</t>
  </si>
  <si>
    <t>Central entry point for legal applicability, compliance evaluation and management monitoring.</t>
  </si>
  <si>
    <t>Review Level:</t>
  </si>
  <si>
    <t>Management</t>
  </si>
  <si>
    <t>WORKFLOW</t>
  </si>
  <si>
    <t>Fill Home
Questionnaire</t>
  </si>
  <si>
    <t>➜</t>
  </si>
  <si>
    <t>Review Applicable
Legal Requirements</t>
  </si>
  <si>
    <t>Monitor through
Dashboard</t>
  </si>
  <si>
    <t>✓</t>
  </si>
  <si>
    <t>SYSTEM STATUS</t>
  </si>
  <si>
    <t>EXCEL COMPATIBLE</t>
  </si>
  <si>
    <t>DATA CONTROL</t>
  </si>
  <si>
    <t>NEED HELP?</t>
  </si>
  <si>
    <t>READY</t>
  </si>
  <si>
    <t>FORMULA-BASED</t>
  </si>
  <si>
    <t>INTERNAL USE</t>
  </si>
  <si>
    <t>REFER GUIDE</t>
  </si>
  <si>
    <t>System is operational and ready for compliance evaluation.</t>
  </si>
  <si>
    <t>Built with Excel formulas for easy maintenance.</t>
  </si>
  <si>
    <t>For internal legal compliance monitoring only.</t>
  </si>
  <si>
    <t>Use Dashboard_Input and user manual for guidance.</t>
  </si>
  <si>
    <r>
      <rPr>
        <b/>
        <sz val="22"/>
        <color rgb="FFFFFFFF"/>
        <rFont val="Aptos"/>
        <family val="2"/>
      </rPr>
      <t xml:space="preserve">▦ </t>
    </r>
    <r>
      <rPr>
        <b/>
        <sz val="10"/>
        <color rgb="FFFFFFFF"/>
        <rFont val="Aptos"/>
        <family val="2"/>
      </rPr>
      <t xml:space="preserve"> Excel-friendly design</t>
    </r>
  </si>
  <si>
    <r>
      <rPr>
        <b/>
        <sz val="22"/>
        <color rgb="FFFFFFFF"/>
        <rFont val="Aptos"/>
        <family val="2"/>
      </rPr>
      <t xml:space="preserve">◎ </t>
    </r>
    <r>
      <rPr>
        <b/>
        <sz val="10"/>
        <color rgb="FFFFFFFF"/>
        <rFont val="Aptos"/>
        <family val="2"/>
      </rPr>
      <t xml:space="preserve"> Centralized legal compliance navigation</t>
    </r>
  </si>
  <si>
    <r>
      <rPr>
        <b/>
        <sz val="22"/>
        <color rgb="FFFFFFFF"/>
        <rFont val="Aptos"/>
        <family val="2"/>
      </rPr>
      <t xml:space="preserve">↗  </t>
    </r>
    <r>
      <rPr>
        <b/>
        <sz val="10"/>
        <color rgb="FFFFFFFF"/>
        <rFont val="Aptos"/>
        <family val="2"/>
      </rPr>
      <t>Easy management overview</t>
    </r>
  </si>
  <si>
    <t>Office tidak tertakluk kepada undang2 yangmemerlukan menggaji SHO</t>
  </si>
  <si>
    <t>Example - Carpool by company car (outstation)</t>
  </si>
  <si>
    <t>Required Compliance Evidence</t>
  </si>
  <si>
    <t>🏠  HOME</t>
  </si>
  <si>
    <t>CORE LEGISLATION</t>
  </si>
  <si>
    <t>REGULATIONS &amp; ICOP</t>
  </si>
  <si>
    <t>●  OSHA     ▶</t>
  </si>
  <si>
    <t>●  WSIA     ▶</t>
  </si>
  <si>
    <t>●  NADOPOD     ▶</t>
  </si>
  <si>
    <t>●  CLASS     ▶</t>
  </si>
  <si>
    <t>●  EQA     ▶</t>
  </si>
  <si>
    <t>●  Sewerage Services     ▶</t>
  </si>
  <si>
    <t>●  USECHH     ▶</t>
  </si>
  <si>
    <t>●  Clean Air     ▶</t>
  </si>
  <si>
    <t>●  CIDB     ▶</t>
  </si>
  <si>
    <t>●  Pesticides Act     ▶</t>
  </si>
  <si>
    <t>●  Noise Exposure     ▶</t>
  </si>
  <si>
    <t>●  Effluent     ▶</t>
  </si>
  <si>
    <t>●  FSA     ▶</t>
  </si>
  <si>
    <t>●  SHC     ▶</t>
  </si>
  <si>
    <t>●  Sewage     ▶</t>
  </si>
  <si>
    <t>●  CF     ▶</t>
  </si>
  <si>
    <t>●  Scheduled Waste     ▶</t>
  </si>
  <si>
    <t>●  CDM     ▶</t>
  </si>
  <si>
    <t>●  Solid Waste     ▶</t>
  </si>
  <si>
    <t>●  Diesel Emission     ▶</t>
  </si>
  <si>
    <t>SPECIAL REQUIREMENTS</t>
  </si>
  <si>
    <t>●  Petrol/Diesel Control     ▶</t>
  </si>
  <si>
    <t>●  ICOP Road Transport     ▶</t>
  </si>
  <si>
    <t>●  Refrigerant     ▶</t>
  </si>
  <si>
    <t>●  Sewerage System Rules     ▶</t>
  </si>
  <si>
    <t>●  Fire Certificate     ▶</t>
  </si>
  <si>
    <t>●  MHA     ▶</t>
  </si>
  <si>
    <t>●  Pesticides Labelling     ▶</t>
  </si>
  <si>
    <r>
      <rPr>
        <b/>
        <sz val="22"/>
        <color rgb="FFFFFFFF"/>
        <rFont val="Webdings"/>
        <family val="1"/>
        <charset val="2"/>
      </rPr>
      <t>v</t>
    </r>
    <r>
      <rPr>
        <b/>
        <sz val="18"/>
        <color rgb="FFFFFFFF"/>
        <rFont val="Calibri"/>
        <family val="2"/>
      </rPr>
      <t xml:space="preserve">  MAIN</t>
    </r>
  </si>
  <si>
    <t>Gaps (If applicable)</t>
  </si>
  <si>
    <t>Actions</t>
  </si>
  <si>
    <t>PIC</t>
  </si>
  <si>
    <t>Dates</t>
  </si>
  <si>
    <t>EOSP is not applicable</t>
  </si>
  <si>
    <t>SHORT NAMES &amp; ABBREVIATIONS</t>
  </si>
  <si>
    <t>Consolidated reference from all workbook tabs and worksheet contents</t>
  </si>
  <si>
    <t>Short Name / Abbreviation</t>
  </si>
  <si>
    <t>Meaning</t>
  </si>
  <si>
    <t>A/B</t>
  </si>
  <si>
    <t>Standard A / Standard B discharge limits under the Environmental Quality (Industrial Effluent) Regulations 2009.</t>
  </si>
  <si>
    <t>APCS</t>
  </si>
  <si>
    <t>Air Pollution Control System.</t>
  </si>
  <si>
    <t>BOMBA</t>
  </si>
  <si>
    <t>Jabatan Bomba dan Penyelamat Malaysia (Fire and Rescue Department of Malaysia).</t>
  </si>
  <si>
    <t>CCC</t>
  </si>
  <si>
    <t>Certificate of Completion and Compliance.</t>
  </si>
  <si>
    <t>Occupational Safety and Health (Construction Work) (Design and Management) Regulations 2024.</t>
  </si>
  <si>
    <t>CE</t>
  </si>
  <si>
    <t>Conformité Européenne (European Conformity) marking or equivalent recognised product/equipment standard.</t>
  </si>
  <si>
    <t>CEMS</t>
  </si>
  <si>
    <t>Continuous Emission Monitoring System.</t>
  </si>
  <si>
    <t>CF</t>
  </si>
  <si>
    <t>Certificate of Fitness.</t>
  </si>
  <si>
    <t>CHRA</t>
  </si>
  <si>
    <t>Chemical Health Risk Assessment.</t>
  </si>
  <si>
    <t>Construction Industry Development Board Malaysia / Lembaga Pembangunan Industri Pembinaan Malaysia.</t>
  </si>
  <si>
    <t>CIDB Act 1994</t>
  </si>
  <si>
    <t>Lembaga Pembangunan Industri Pembinaan Malaysia Act 1994.</t>
  </si>
  <si>
    <t>Occupational Safety and Health (Classification, Labelling and Safety Data Sheet of Hazardous Chemicals) Regulations 2013.</t>
  </si>
  <si>
    <t>Clean Air Regulations 2014</t>
  </si>
  <si>
    <t>Environmental Quality (Clean Air) Regulations 2014.</t>
  </si>
  <si>
    <t>COA</t>
  </si>
  <si>
    <t>Certificate of Analysis.</t>
  </si>
  <si>
    <t>CORE360</t>
  </si>
  <si>
    <t>Short name of the CORE360 HSSE Legal Compliance assessment tool/program.</t>
  </si>
  <si>
    <t>CPP</t>
  </si>
  <si>
    <t>Construction Phase Plan.</t>
  </si>
  <si>
    <t>CRO</t>
  </si>
  <si>
    <t>Central Region Office.</t>
  </si>
  <si>
    <t>dB(A)</t>
  </si>
  <si>
    <t>A-weighted decibel, the unit used to measure occupational noise exposure.</t>
  </si>
  <si>
    <t>DID / JPS</t>
  </si>
  <si>
    <t>Department of Irrigation and Drainage / Jabatan Pengairan dan Saliran.</t>
  </si>
  <si>
    <t>Diesel Engine Regulations 2000</t>
  </si>
  <si>
    <t>Environmental Quality Control (Emissions From Diesel Engines) (Amendment) Regulations 2000.</t>
  </si>
  <si>
    <t>DOE</t>
  </si>
  <si>
    <t>Department of Environment (Jabatan Alam Sekitar).</t>
  </si>
  <si>
    <t>DOSH</t>
  </si>
  <si>
    <t>Department of Occupational Safety and Health (Jabatan Keselamatan dan Kesihatan Pekerjaan).</t>
  </si>
  <si>
    <t>EIA</t>
  </si>
  <si>
    <t>Environmental Impact Assessment.</t>
  </si>
  <si>
    <t>EOSP</t>
  </si>
  <si>
    <t>Expressway Operation Safety Passport.</t>
  </si>
  <si>
    <t>EQ</t>
  </si>
  <si>
    <t>Environmental Quality; used as a shortened prefix for Environmental Quality legislation.</t>
  </si>
  <si>
    <t>Environmental Quality Act 1974.</t>
  </si>
  <si>
    <t>ERP</t>
  </si>
  <si>
    <t>Emergency Response Plan.</t>
  </si>
  <si>
    <t>Expressway Operation Safety Passport</t>
  </si>
  <si>
    <t>Fire Certificate.</t>
  </si>
  <si>
    <t>Fire Certificate Regulations</t>
  </si>
  <si>
    <t>Fire Services (Fire Certificate) Regulations 2001 and Fire Services (Fire Certificate) (Amendment) Regulations 2022.</t>
  </si>
  <si>
    <t>FRA</t>
  </si>
  <si>
    <t>Fire Risk Analysis.</t>
  </si>
  <si>
    <t>Fire Services Act 1988 (Act 341).</t>
  </si>
  <si>
    <t>FSO</t>
  </si>
  <si>
    <t>Fire Safety Organisation.</t>
  </si>
  <si>
    <t>GDL / PSV</t>
  </si>
  <si>
    <t>Goods Driving Licence / Public Service Vehicle licence, where applicable.</t>
  </si>
  <si>
    <t>HIRARC</t>
  </si>
  <si>
    <t>Hazard Identification, Risk Assessment and Risk Control.</t>
  </si>
  <si>
    <t>Headquarters.</t>
  </si>
  <si>
    <t>Health, Safety, Security and Environment.</t>
  </si>
  <si>
    <t>HSU</t>
  </si>
  <si>
    <t>Hartridge Smoke Unit, used for measuring diesel smoke opacity.</t>
  </si>
  <si>
    <t>IAQ</t>
  </si>
  <si>
    <t>Indoor Air Quality.</t>
  </si>
  <si>
    <t>ICOP</t>
  </si>
  <si>
    <t>Industry Code of Practice.</t>
  </si>
  <si>
    <t>ICOP Road Transport 2010</t>
  </si>
  <si>
    <t>Occupational Safety and Health Industry Code of Practice for Road Transport Activities 2010.</t>
  </si>
  <si>
    <t>ID</t>
  </si>
  <si>
    <t>Identification or identifier, for example Action ID.</t>
  </si>
  <si>
    <t>IETP</t>
  </si>
  <si>
    <t>Industrial Effluent Treatment Plant.</t>
  </si>
  <si>
    <t>IETS</t>
  </si>
  <si>
    <t>Industrial Effluent Treatment System.</t>
  </si>
  <si>
    <t>Industrial Effluent Regulations 2009</t>
  </si>
  <si>
    <t>Environmental Quality (Industrial Effluent) Regulations 2009.</t>
  </si>
  <si>
    <t>JKKP</t>
  </si>
  <si>
    <t>Jabatan Keselamatan dan Kesihatan Pekerjaan (Department of Occupational Safety and Health).</t>
  </si>
  <si>
    <t>KPI</t>
  </si>
  <si>
    <t>Key Performance Indicator.</t>
  </si>
  <si>
    <t>LEV</t>
  </si>
  <si>
    <t>Local Exhaust Ventilation.</t>
  </si>
  <si>
    <t>LLM</t>
  </si>
  <si>
    <t>Lembaga Lebuhraya Malaysia (Malaysia Highway Authority).</t>
  </si>
  <si>
    <t>LPG</t>
  </si>
  <si>
    <t>Liquefied Petroleum Gas.</t>
  </si>
  <si>
    <t>Lebuhraya Pantai Timur 2.</t>
  </si>
  <si>
    <t>Malaysia Highway Authority; used in the workbook in relation to LLM highway requirements.</t>
  </si>
  <si>
    <t>MHA / EOSP Guide</t>
  </si>
  <si>
    <t>Panduan Perlaksanaan EOSP bagi Syarikat Konsesi dan Pihak Ketiga.</t>
  </si>
  <si>
    <t>NA / N/A</t>
  </si>
  <si>
    <t>Not Applicable.</t>
  </si>
  <si>
    <t>Occupational Safety and Health (Notification of Accident, Dangerous Occurrence, Occupational Poisoning and Occupational Disease) Regulations 2004.</t>
  </si>
  <si>
    <t>Noise Exposure Regulations 2019</t>
  </si>
  <si>
    <t>Occupational Safety and Health (Noise Exposure) Regulations 2019.</t>
  </si>
  <si>
    <t>Noise Risk Assessment.</t>
  </si>
  <si>
    <t>NRI</t>
  </si>
  <si>
    <t>Noise Risk Identification.</t>
  </si>
  <si>
    <t>NRO</t>
  </si>
  <si>
    <t>Northern Region Office.</t>
  </si>
  <si>
    <t>O&amp;M</t>
  </si>
  <si>
    <t>Operation and Maintenance.</t>
  </si>
  <si>
    <t>OHD</t>
  </si>
  <si>
    <t>Occupational Health Doctor.</t>
  </si>
  <si>
    <t>OSH</t>
  </si>
  <si>
    <t>Occupational Safety and Health.</t>
  </si>
  <si>
    <t>OSH-C</t>
  </si>
  <si>
    <t>Occupational Safety and Health Coordinator.</t>
  </si>
  <si>
    <t>Occupational Safety and Health Act 1994.</t>
  </si>
  <si>
    <t>PBT</t>
  </si>
  <si>
    <t>Pihak Berkuasa Tempatan (Local Authority).</t>
  </si>
  <si>
    <t>PCWC</t>
  </si>
  <si>
    <t>Principal Construction Work Contractor.</t>
  </si>
  <si>
    <t>PCWD</t>
  </si>
  <si>
    <t>Principal Construction Work Designer.</t>
  </si>
  <si>
    <t>Pesticides Act 1974.</t>
  </si>
  <si>
    <t>Pesticides Labelling Regulations 1984</t>
  </si>
  <si>
    <t>Pesticides Labelling Regulation 1984.</t>
  </si>
  <si>
    <t>Petrol &amp; Diesel Content Regulations</t>
  </si>
  <si>
    <t>Environmental Quality (Control of Petrol and Diesel Content) 2007 (Amendment) Regulations 2021.</t>
  </si>
  <si>
    <t>Person in Charge.</t>
  </si>
  <si>
    <t>Plant Requiring CF Regulations 2024</t>
  </si>
  <si>
    <t>Occupational Safety and Health (Plant Requiring Certificate of Fitness) Regulations 2024.</t>
  </si>
  <si>
    <t>PLUS</t>
  </si>
  <si>
    <t>PLUS Malaysia Berhad / the highway concessionaire referred to in the workbook.</t>
  </si>
  <si>
    <t>Personal Protective Equipment.</t>
  </si>
  <si>
    <t>PTW</t>
  </si>
  <si>
    <t>Permit to Work.</t>
  </si>
  <si>
    <t>QMS</t>
  </si>
  <si>
    <t>Quality Management System.</t>
  </si>
  <si>
    <t>QR</t>
  </si>
  <si>
    <t>Quick Response code.</t>
  </si>
  <si>
    <t>RAG</t>
  </si>
  <si>
    <t>Red-Amber-Green status used to indicate action or compliance priority.</t>
  </si>
  <si>
    <t>Refrigerant Management Regulations</t>
  </si>
  <si>
    <t>Environmental Quality (Refrigerant Management) Regulations 1999.</t>
  </si>
  <si>
    <t>Reg.</t>
  </si>
  <si>
    <t>Regulation.</t>
  </si>
  <si>
    <t>RM10M</t>
  </si>
  <si>
    <t>RM10 million.</t>
  </si>
  <si>
    <t>Rest and Service Area (Kawasan Rehat dan Rawat / R&amp;R).</t>
  </si>
  <si>
    <t>SDS</t>
  </si>
  <si>
    <t>Safety Data Sheet.</t>
  </si>
  <si>
    <t>Sec.</t>
  </si>
  <si>
    <t>Section.</t>
  </si>
  <si>
    <t>Sewage Regulations 2009</t>
  </si>
  <si>
    <t>Environmental Quality (Sewage) Regulations 2009.</t>
  </si>
  <si>
    <t>Sewerage Services Act 1993</t>
  </si>
  <si>
    <t>Sewerage Services Act 1993.</t>
  </si>
  <si>
    <t>Sewerage System &amp; Septic Tank Rules 2013</t>
  </si>
  <si>
    <t>Water Services Industry (Planning, Design and Construction of Sewerage System and Septic Tank) Rules 2013.</t>
  </si>
  <si>
    <t>SHC</t>
  </si>
  <si>
    <t>Safety and Health Committee.</t>
  </si>
  <si>
    <t>SHC Regulations 1996</t>
  </si>
  <si>
    <t>Occupational Safety and Health (Safety and Health Committee) Regulations 1996.</t>
  </si>
  <si>
    <t>SHO</t>
  </si>
  <si>
    <t>Safety and Health Officer.</t>
  </si>
  <si>
    <t>Solid Waste Regulations 2009</t>
  </si>
  <si>
    <t>Environmental Quality (Pollution Control from Solid Waste Transfer Stations and Landfills) Regulations 2009.</t>
  </si>
  <si>
    <t>SOP</t>
  </si>
  <si>
    <t>Standard Operating Procedure.</t>
  </si>
  <si>
    <t>SPAN</t>
  </si>
  <si>
    <t>Suruhanjaya Perkhidmatan Air Negara (National Water Services Commission).</t>
  </si>
  <si>
    <t>SRO</t>
  </si>
  <si>
    <t>Southern Region Office.</t>
  </si>
  <si>
    <t>SSS</t>
  </si>
  <si>
    <t>Site Safety Supervisor.</t>
  </si>
  <si>
    <t>STP</t>
  </si>
  <si>
    <t>Sewage Treatment Plant.</t>
  </si>
  <si>
    <t>Scheduled Wastes.</t>
  </si>
  <si>
    <t>SW Regulations 2005</t>
  </si>
  <si>
    <t>Toll Plaza.</t>
  </si>
  <si>
    <t>Occupational Safety and Health (Use and Exposure Standards of Hazardous Chemicals to Health) Regulations 2000.</t>
  </si>
  <si>
    <t>WAH</t>
  </si>
  <si>
    <t>Work at Height.</t>
  </si>
  <si>
    <t>Water Services Industry Act 2006.</t>
  </si>
  <si>
    <t>Section 32 - Activation of NADOPOD (MyKKP registration)</t>
  </si>
  <si>
    <t>Action Tracker ID</t>
  </si>
  <si>
    <t>Gaps</t>
  </si>
  <si>
    <t>EQA 1974</t>
  </si>
  <si>
    <t>OSHA 1994</t>
  </si>
  <si>
    <t>MHA Guidance</t>
  </si>
  <si>
    <t>WSIA 2006</t>
  </si>
  <si>
    <t>EQ (Diesel Engine) Reg. 2000</t>
  </si>
  <si>
    <t>EQ (Solid Waste) Reg. 2009</t>
  </si>
  <si>
    <t>EQ (Control of Petrol &amp; Diesel) Reg. 2007</t>
  </si>
  <si>
    <t>EQ (Ind. Effluent) Reg. 2009</t>
  </si>
  <si>
    <t>EQ (Clean Air) Reg. 2014</t>
  </si>
  <si>
    <t>OSH (CF) Reg. 2024</t>
  </si>
  <si>
    <t>EQ (SW) 2005</t>
  </si>
  <si>
    <t>OSH (USECHH) Reg 2000</t>
  </si>
  <si>
    <t>ICOP Transport 2010</t>
  </si>
  <si>
    <t>Pesticides (Labelling) Regulation 1984</t>
  </si>
  <si>
    <t>WSI (Sewerage System) Rules 2013</t>
  </si>
  <si>
    <t>OSH (CLASS) Reg. 2013</t>
  </si>
  <si>
    <t>OSH (NADOPOD) Reg. 2004</t>
  </si>
  <si>
    <t>OSH (Noise Exp.) Reg. 2019</t>
  </si>
  <si>
    <t>OSH (SHC) Reg. 1996</t>
  </si>
  <si>
    <t>OSH (CDM) Reg. 2024</t>
  </si>
  <si>
    <t>FSA 1988</t>
  </si>
  <si>
    <t>FS (Fire Cert.) Reg. 2001</t>
  </si>
  <si>
    <t>EQ (Sewage) Reg. 2009</t>
  </si>
  <si>
    <t>EQ (Refrigerant) Reg. 1999</t>
  </si>
  <si>
    <t>Pesticides (Labelling) Reg. 1984</t>
  </si>
  <si>
    <t>UBBL</t>
  </si>
  <si>
    <t>Building renovation</t>
  </si>
  <si>
    <t>Building to comply UBBL 1984</t>
  </si>
  <si>
    <t>UBBL applies to occupied buildings and structures subject to local authority building control.</t>
  </si>
  <si>
    <t>UBBL compliance applies to occupied building.</t>
  </si>
  <si>
    <t>Occupied building/structure</t>
  </si>
  <si>
    <t>37. Availability of facilities, equipment and building features</t>
  </si>
  <si>
    <t>H. Building, facilities and equipment</t>
  </si>
  <si>
    <t>Uniform Building By-Laws 1984 (UBBL 1984) – Street, Drainage and Building Act 1974 [Act 133]</t>
  </si>
  <si>
    <t>By-law 34A – Provide accessible access and facilities for disabled persons</t>
  </si>
  <si>
    <t>By-law 35 – Maintain building access from a street</t>
  </si>
  <si>
    <t>By-law 38B – Protect building structures against lightning strikes</t>
  </si>
  <si>
    <t>By-law 39 – Maintain required natural lighting and ventilation openings</t>
  </si>
  <si>
    <t>By-law 41 – Maintain mechanical ventilation and air-conditioning provisions</t>
  </si>
  <si>
    <t>By-law 70 – Maintain safe parapets, balustrades and lower cladding panels</t>
  </si>
  <si>
    <t>By-law 71 – Maintain vehicle barriers at car parks</t>
  </si>
  <si>
    <t>By-law 80 – Maintain structural stability without harmful deflection or deformation</t>
  </si>
  <si>
    <t>By-law 82 – Maintain subsoil drainage to prevent moisture damage</t>
  </si>
  <si>
    <t>By-law 83 – Protect and maintain slopes and ground around/under buildings</t>
  </si>
  <si>
    <t>By-law 84 – Prevent dampness and moisture penetration into the building</t>
  </si>
  <si>
    <t>By-law 98 – Maintain boundary fences and walls within permitted height</t>
  </si>
  <si>
    <t>By-law 101 – Maintain fire-resisting flues/ducts for heat-generating appliances</t>
  </si>
  <si>
    <t>By-law 102 – Keep combustible materials clear of smoke flues</t>
  </si>
  <si>
    <t>By-law 105 – Maintain ventilation below timber ground floors</t>
  </si>
  <si>
    <t>By-law 106 – Maintain safe and uniform staircase dimensions and landings</t>
  </si>
  <si>
    <t>By-law 107 – Maintain required staircase handrails</t>
  </si>
  <si>
    <t>By-law 108 – Maintain required staircase flight and landing arrangement</t>
  </si>
  <si>
    <t>By-law 110 – Keep staircases, corridors and passages free from obstruction</t>
  </si>
  <si>
    <t>By-law 111 – Maintain staircase lighting and ventilation</t>
  </si>
  <si>
    <t>By-law 115(1) – Maintain effective roof drainage</t>
  </si>
  <si>
    <t>By-law 115(2) – Maintain rainwater harvesting system (SPAH) requirements</t>
  </si>
  <si>
    <t>By-law 116 – Maintain edge protection at accessible roofs, balconies and elevated areas</t>
  </si>
  <si>
    <t>By-law 117 – Maintain access to enclosed roof space</t>
  </si>
  <si>
    <t>By-law 124 – Provide a lift in applicable non-residential buildings exceeding four storeys</t>
  </si>
  <si>
    <t>By-law 136 – Maintain required fire compartment walls and floors</t>
  </si>
  <si>
    <t>By-law 136A – Maintain fire shutters used for compartmentation</t>
  </si>
  <si>
    <t>By-law 139 – Maintain separation of fire-risk areas</t>
  </si>
  <si>
    <t>By-law 140 – Keep fire-appliance access and fire-fighting access openings available</t>
  </si>
  <si>
    <t>By-law 150 – Maintain protected shafts and protected openings</t>
  </si>
  <si>
    <t>By-law 151 – Maintain required ventilation to lift shafts</t>
  </si>
  <si>
    <t>By-law 152 – Maintain fire protection at lift-shaft openings</t>
  </si>
  <si>
    <t>By-law 153 – Maintain smoke detectors at lift lobbies</t>
  </si>
  <si>
    <t>By-law 156 – Maintain fire dampers/barriers where protected shafts contain ventilation ducts</t>
  </si>
  <si>
    <t>By-law 157 – Keep prohibited gas/oil pipes and unrelated ducts out of protected staircase shafts</t>
  </si>
  <si>
    <t>By-law 160 – Maintain fire precautions in air-conditioning systems</t>
  </si>
  <si>
    <t>By-law 161 – Maintain fire-stopping at service penetrations and cavities</t>
  </si>
  <si>
    <t>By-law 162 – Maintain fire doors at required compartment/protected openings</t>
  </si>
  <si>
    <t>By-law 164 – Maintain automatic door closers and approved hold-open arrangements on fire doors</t>
  </si>
  <si>
    <t>By-law 165 – Maintain travel distance to exits within the approved arrangement</t>
  </si>
  <si>
    <t>By-law 166 – Keep exits and exit access readily accessible at all times</t>
  </si>
  <si>
    <t>By-law 168 – Maintain required staircase and landing clear width</t>
  </si>
  <si>
    <t>By-law 169 – Maintain exit-route width without reduction along the route</t>
  </si>
  <si>
    <t>By-law 172 – Maintain visible and illuminated emergency exit signs</t>
  </si>
  <si>
    <t>By-law 173 – Maintain exit doors openable from inside and self-closing where required</t>
  </si>
  <si>
    <t>By-law 174A – Maintain clear final exits and routes to a place of safety</t>
  </si>
  <si>
    <t>By-law 189 – Maintain fire-resisting enclosure of required means of escape</t>
  </si>
  <si>
    <t>By-law 190 – Maintain external exit staircases and protected clearances</t>
  </si>
  <si>
    <t>By-law 196 – Maintain smoke lobbies</t>
  </si>
  <si>
    <t>By-law 197 – Maintain protected lobbies in applicable buildings</t>
  </si>
  <si>
    <t>By-law 197A – Maintain fire-fighting shafts</t>
  </si>
  <si>
    <t>By-law 197B – Maintain fire-fighting access lobbies</t>
  </si>
  <si>
    <t>By-law 198 – Maintain ventilation of staircase enclosures</t>
  </si>
  <si>
    <t>By-law 199 – Maintain staircase ventilation arrangement in buildings not exceeding 18 m</t>
  </si>
  <si>
    <t>By-law 200 – Maintain staircase smoke-control arrangement in buildings exceeding 18 m</t>
  </si>
  <si>
    <t>By-law 201 – Maintain smoke protection for staircase enclosures below ground level</t>
  </si>
  <si>
    <t>By-law 202 – Maintain staircase pressurisation system where required</t>
  </si>
  <si>
    <t>By-laws 203 &amp; 205 – Maintain suitable fire-performance of wall, ceiling and interior finish materials</t>
  </si>
  <si>
    <t>By-laws 213 &amp; 217 – Maintain required fire resistance of structural elements</t>
  </si>
  <si>
    <t>By-law 225 – Maintain required fire alarm/extinguishing systems and fire hydrants</t>
  </si>
  <si>
    <t>By-law 226 – Maintain suitable automatic extinguishing system for hazardous occupancy</t>
  </si>
  <si>
    <t>By-law 226A – Maintain hose-reel systems</t>
  </si>
  <si>
    <t>By-law 227 – Provide and maintain portable fire extinguishers</t>
  </si>
  <si>
    <t>By-law 228 – Maintain sprinkler systems</t>
  </si>
  <si>
    <t>By-law 228A – Maintain automatic fire-monitoring system</t>
  </si>
  <si>
    <t>By-law 230 – Maintain dry-riser systems</t>
  </si>
  <si>
    <t>By-law 231 – Maintain wet-riser systems</t>
  </si>
  <si>
    <t>By-law 235 – Maintain fixed extinguishing systems for applicable hazards</t>
  </si>
  <si>
    <t>By-law 237 – Maintain fire-alarm systems</t>
  </si>
  <si>
    <t>By-law 238 – Maintain fire command centre where required</t>
  </si>
  <si>
    <t>By-law 239 – Maintain fireman intercom and public-address communication systems</t>
  </si>
  <si>
    <t>By-law 240 – Maintain required electrical isolation switch</t>
  </si>
  <si>
    <t>By-law 241 – Maintain special fire-alarm provisions where required</t>
  </si>
  <si>
    <t>By-law 243 – Maintain fire lift where required</t>
  </si>
  <si>
    <t>By-law 243A – Maintain emergency lift operation during mains power failure</t>
  </si>
  <si>
    <t>By-law 243B – Maintain lift fire mode of operation</t>
  </si>
  <si>
    <t>By-law 248 – Maintain identification/marking of fire-service pipes and equipment</t>
  </si>
  <si>
    <t>By-law 249 – Maintain smoke-control systems</t>
  </si>
  <si>
    <t>By-law 252A – Maintain required fire and smoke-safety provisions for atriums</t>
  </si>
  <si>
    <t>By-law 253 – Maintain emergency power for life-safety systems</t>
  </si>
  <si>
    <t>By-law 253A – Maintain emergency lighting for escape purposes</t>
  </si>
  <si>
    <t>By-law 254 – Verify Parts VII and VIII requirements apply to the existing building classification</t>
  </si>
  <si>
    <t>Approved accessibility/building plan; Onsite inspection of accessible entrances, routes, ramps, handrails, doors and facilities</t>
  </si>
  <si>
    <t>Approved site/layout plan; Onsite verification that access route remains usable and unobstructed</t>
  </si>
  <si>
    <t>Lightning protection design/as-built record; Inspection/test or maintenance report; Visual condition of terminals, conductors and connections</t>
  </si>
  <si>
    <t>Approved building plan; Onsite inspection of windows, vents and openings; Verification openings are not sealed or obstructed</t>
  </si>
  <si>
    <t>Ventilation/AC maintenance records; Onsite inspection of fans, grilles, ducts and alternate ventilation provisions</t>
  </si>
  <si>
    <t>Periodic building inspection record; Defect/photo record; Engineering assessment where cracking, corrosion, looseness or deformation is identified</t>
  </si>
  <si>
    <t>Car-park barrier inspection record; Impact/damage record; Engineering assessment where barrier integrity is affected</t>
  </si>
  <si>
    <t>Building/structural inspection record; Defect register; Structural engineer report where major cracks, settlement, spalling, corrosion or deformation is observed</t>
  </si>
  <si>
    <t>Drainage maintenance/inspection record; Onsite inspection for water ingress, persistent dampness or ponding</t>
  </si>
  <si>
    <t>Slope/ground inspection and maintenance records; Photos; Drainage condition; Records of erosion, movement or corrective action</t>
  </si>
  <si>
    <t>Onsite inspection of walls/floors; Evidence of seepage, dampness, mould or failed waterproofing; Defect/corrective-action record</t>
  </si>
  <si>
    <t>Approved site/building plan; Onsite inspection/measurement of boundary fence or wall height and condition</t>
  </si>
  <si>
    <t>Approved drawing/specification; Flue/duct inspection and maintenance records; Evidence of fire-resisting construction and safe discharge to open air</t>
  </si>
  <si>
    <t>Onsite clearance inspection; Photo evidence showing combustible materials kept clear of flue casing</t>
  </si>
  <si>
    <t>Onsite inspection of under-floor ventilation openings; Verification vents are clear and effective</t>
  </si>
  <si>
    <t>Approved stair plan; Onsite measurement/inspection of risers, treads and landings; Alteration record where stair geometry changed</t>
  </si>
  <si>
    <t>Onsite inspection confirming handrails are present, continuous, secure and undamaged</t>
  </si>
  <si>
    <t>Approved stair plan; Onsite verification of flights/landings; Alteration approval where configuration changed</t>
  </si>
  <si>
    <t>Routine workplace inspection record; Photo evidence; Verification of no storage, equipment or hazardous low projections</t>
  </si>
  <si>
    <t>Lighting inspection/lux measurement; Ventilation or pressurisation maintenance/test record; Onsite condition check</t>
  </si>
  <si>
    <t>Roof/gutter/downpipe inspection and maintenance records; Onsite verification of no blockage, leakage, overflow or ponding</t>
  </si>
  <si>
    <t>SPAH drawing/record; Onsite inspection of pipe identification, non-potable marking, gutter drainage and separation from potable water</t>
  </si>
  <si>
    <t>Onsite inspection/measurement of parapets or railings; Condition record confirming secure edge protection and no dangerous gaps</t>
  </si>
  <si>
    <t>Onsite inspection of roof-space trap door/access opening; Verification it remains accessible, intact and unobstructed</t>
  </si>
  <si>
    <t>Approved building plan; Onsite verification that required lift is provided and remains available for the building</t>
  </si>
  <si>
    <t>Approved fire/building plan; Compartmentation inspection record; Evidence that walls/floors remain continuous and penetrations are protected</t>
  </si>
  <si>
    <t>Approved fire-shutter specification; Functional test/maintenance record; Onsite check of shutter, guides, path and controls</t>
  </si>
  <si>
    <t>Approved fire compartment plan; Onsite inspection of fire-risk rooms, separating walls/doors and sealed penetrations</t>
  </si>
  <si>
    <t>Approved site/fire access plan; Onsite inspection of access width, clearance, road surface, markings/signage and obstruction-free access</t>
  </si>
  <si>
    <t>Approved fire plan; Shaft inspection record; Verification enclosure, doors/openings and service penetrations remain protected and unobstructed</t>
  </si>
  <si>
    <t>Approved lift/ventilation plan; Onsite inspection of lift-shaft vents/ducts; Maintenance record where mechanical ventilation is used</t>
  </si>
  <si>
    <t>Approved lift/fire plan; Inspection of lift landing doors, lobby protection and openings; Fire-rated door/product evidence where applicable</t>
  </si>
  <si>
    <t>Fire alarm layout; Detector maintenance/functional test record; Onsite verification detectors are present and unobstructed</t>
  </si>
  <si>
    <t>Approved M&amp;E/fire plan; Fire-damper inspection/test and maintenance records; Onsite verification of duct/shaft integrity</t>
  </si>
  <si>
    <t>Approved services/fire plan; Onsite inspection of exit staircase/protected shaft for prohibited pipes or ducts</t>
  </si>
  <si>
    <t>Approved AC/fire design; Duct/fire-damper maintenance records; Onsite inspection of ducts, supports, penetrations and air-intake condition</t>
  </si>
  <si>
    <t>Fire-stopping specification/installation record where available; Onsite inspection of cable, pipe, duct and tray penetrations; Photo/rectification record</t>
  </si>
  <si>
    <t>Approved fire-door schedule/plan; Fire-door identification/rating evidence; Onsite inspection of leaf, frame, glazing, gaps and damage</t>
  </si>
  <si>
    <t>Fire-door inspection/maintenance record; Functional test of self-closing/latching, sequencing and hold-open release</t>
  </si>
  <si>
    <t>Approved fire/escape plan; Onsite route check after layout or partition changes; Travel-distance verification where altered</t>
  </si>
  <si>
    <t>Routine exit-route inspection; Photo evidence; Verification exits are not blocked, chained, locked or obstructed</t>
  </si>
  <si>
    <t>Approved escape/stair plan; Onsite measurement/inspection; Verification no encroachment by storage, equipment or door swing</t>
  </si>
  <si>
    <t>Exit-route inspection record; Verification no narrowing from partitions, furniture, storage, equipment or temporary works</t>
  </si>
  <si>
    <t>Exit-sign inspection/maintenance record; Onsite check of visibility, direction and illumination; Functional test</t>
  </si>
  <si>
    <t>Exit-door inspection record; Functional test of opening without key/special knowledge and automatic closing/hold-open release</t>
  </si>
  <si>
    <t>Approved escape plan; Onsite inspection of final exit/discharge route; Verification no storage, kiosk, obstruction or combustible encroachment</t>
  </si>
  <si>
    <t>Approved fire plan; Inspection of escape-stair enclosure, walls, doors and penetrations; Alteration/repair records</t>
  </si>
  <si>
    <t>Approved fire/escape plan; Onsite inspection of external stair condition, obstruction, nearby openings/combustibles, ventilation and final discharge</t>
  </si>
  <si>
    <t>Approved fire plan; Inspection of lobby clear width, fire doors and ventilation; Pressurisation/ventilation test record where applicable</t>
  </si>
  <si>
    <t>Approved fire plan; Onsite inspection of protected lobby enclosure/doors; Pressurisation maintenance and test records where applicable</t>
  </si>
  <si>
    <t>Approved fire plan; Inspection of fire-fighting staircase, fire lift, access lobby and riser; Functional/maintenance records for associated systems</t>
  </si>
  <si>
    <t>Approved fire plan; Onsite inspection of lobby area, access and ventilation; Pressurisation test/maintenance record where applicable</t>
  </si>
  <si>
    <t>Approved ventilation/fire plan; Onsite inspection of openings/windows; Maintenance/test record for mechanical system where provided</t>
  </si>
  <si>
    <t>Approved fire/ventilation plan; Onsite inspection of ventilated lobby/top vent and unobstructed openings</t>
  </si>
  <si>
    <t>Approved smoke-control/pressurisation design; Functional test and maintenance records; Onsite inspection of shafts/openings/controls</t>
  </si>
  <si>
    <t>Approved basement fire plan; Inspection of stair/lobby doors and smoke-control provisions; Functional test records where mechanical systems are used</t>
  </si>
  <si>
    <t>Approved pressurisation design; Functional/performance test and maintenance records; Onsite verification controls/equipment are available</t>
  </si>
  <si>
    <t>Material fire-classification certificates/specifications; Renovation/fit-out records; Onsite inspection of interior finishes in relevant areas</t>
  </si>
  <si>
    <t>Approved structural/fire plan; Fire-protection material/product records; Onsite inspection of encasement, boards, sprayed protection or other fire-resisting construction</t>
  </si>
  <si>
    <t>Approved fire-system plan; Fire alarm/extinguishing system inspection/test/maintenance records; Hydrant inspection and access verification</t>
  </si>
  <si>
    <t>Hazard/occupancy assessment; Approved suppression design; Functional test/maintenance records; Onsite condition and isolation status</t>
  </si>
  <si>
    <t>Hose-reel inspection/test and maintenance records; Onsite check of cabinet, hose, nozzle, valve, accessibility and identification</t>
  </si>
  <si>
    <t>Fire-extinguisher inventory/service records; Service tags; Onsite verification of correct location, accessibility and physical condition</t>
  </si>
  <si>
    <t>Sprinkler inspection/test and maintenance records; Valve status; Onsite inspection of heads, piping and obstruction/paint damage</t>
  </si>
  <si>
    <t>Monitoring service/connection record; Panel status; Functional communication/test record; Isolation/fault record</t>
  </si>
  <si>
    <t>Approved riser plan; Pressure/functional test and maintenance records; Onsite inspection of breeching inlet, landing valves and hose connections</t>
  </si>
  <si>
    <t>Approved riser plan; Pump/pressure/functional test and maintenance records; Onsite inspection of landing valves, pipework and cabinets</t>
  </si>
  <si>
    <t>Approved fixed-suppression design; Functional test/maintenance records; Onsite check of cylinders/agents, discharge devices, controls and protected-area integrity</t>
  </si>
  <si>
    <t>Fire-alarm maintenance/functional test record; Panel status; Onsite inspection of detectors, manual call points and alarm devices</t>
  </si>
  <si>
    <t>Approved fire-command-centre layout; Onsite inspection of access, enclosure and required panels/interfaces; System status/test records</t>
  </si>
  <si>
    <t>Communication-system maintenance/test records; Onsite inspection of intercom/PA points and accessibility</t>
  </si>
  <si>
    <t>Approved electrical/fire plan; Onsite verification switch is present, identified and accessible; Inspection/maintenance record</t>
  </si>
  <si>
    <t>Approved special-alarm design; Functional test/maintenance records; Onsite verification of visual/tactile/special alarm devices</t>
  </si>
  <si>
    <t>Approved fire-lift plan; Lift inspection/maintenance record; Fire-lift designation and access check; Fire/emergency mode test evidence</t>
  </si>
  <si>
    <t>Emergency-power/lift recall test record; Evidence lifts return to designated floor in required sequence; Emergency power availability record</t>
  </si>
  <si>
    <t>Fire-mode recall/fireman-switch functional test record; Fire alarm interface test; Fireman intercom test record</t>
  </si>
  <si>
    <t>Onsite visual inspection/photos confirming required pipe colour/identification and clearly marked fire-service cabinets/areas</t>
  </si>
  <si>
    <t>Approved smoke-control design; Functional/performance test and maintenance records; Onsite inspection of vents, louvres, shafts and controls</t>
  </si>
  <si>
    <t>Approved atrium/fire plan; Onsite verification atrium remains open/unobstructed and exits remain separately enclosed; Sprinkler/smoke-control inspection, test and maintenance records where applicable</t>
  </si>
  <si>
    <t>Generator/battery maintenance and test records; Automatic changeover test; Verification emergency power supplies connected life-safety systems</t>
  </si>
  <si>
    <t>Emergency-light inspection/maintenance records; Functional test; Duration test demonstrating at least 3 hours emergency illumination</t>
  </si>
  <si>
    <t>Building purpose-group/classification record; Approved building/fire plans; Records demonstrating applicable Parts VII and VIII provisions were incorporated/maintained</t>
  </si>
  <si>
    <t>●  Uniform Building By-Laws     ▶</t>
  </si>
  <si>
    <t>Uniform Building By-Laws 1984</t>
  </si>
  <si>
    <t>20. Use of pesticides with extremely hazardous chemicals</t>
  </si>
  <si>
    <t>Applcable</t>
  </si>
  <si>
    <t>OSHA1</t>
  </si>
  <si>
    <t>OSHA2</t>
  </si>
  <si>
    <t>OSHA3</t>
  </si>
  <si>
    <t>OSHA4</t>
  </si>
  <si>
    <t>OSHA5</t>
  </si>
  <si>
    <t>OSHA6</t>
  </si>
  <si>
    <t>OSHA7</t>
  </si>
  <si>
    <t>OSHA8</t>
  </si>
  <si>
    <t>OSHA9</t>
  </si>
  <si>
    <t>OSHA10</t>
  </si>
  <si>
    <t>EQA1</t>
  </si>
  <si>
    <t>EQA2</t>
  </si>
  <si>
    <t>EQA3</t>
  </si>
  <si>
    <t>EQA4</t>
  </si>
  <si>
    <t>EQA5</t>
  </si>
  <si>
    <t>EQA6</t>
  </si>
  <si>
    <t>EQA7</t>
  </si>
  <si>
    <t>EQA8</t>
  </si>
  <si>
    <t>EQA9</t>
  </si>
  <si>
    <t>EQA10</t>
  </si>
  <si>
    <t>WSIA1</t>
  </si>
  <si>
    <t>WSIA2</t>
  </si>
  <si>
    <t>WSIA3</t>
  </si>
  <si>
    <t>WSIA4</t>
  </si>
  <si>
    <t>WSIA5</t>
  </si>
  <si>
    <t>WSIA6</t>
  </si>
  <si>
    <t>WSIA7</t>
  </si>
  <si>
    <t>WSIA8</t>
  </si>
  <si>
    <t>WSIA9</t>
  </si>
  <si>
    <t>WSIA10</t>
  </si>
  <si>
    <t>CIDB1</t>
  </si>
  <si>
    <t>CIDB2</t>
  </si>
  <si>
    <t>CIDB3</t>
  </si>
  <si>
    <t>CIDB4</t>
  </si>
  <si>
    <t>CIDB5</t>
  </si>
  <si>
    <t>CIDB6</t>
  </si>
  <si>
    <t>CIDB7</t>
  </si>
  <si>
    <t>CIDB8</t>
  </si>
  <si>
    <t>CIDB9</t>
  </si>
  <si>
    <t>CIDB10</t>
  </si>
  <si>
    <t>PEST1</t>
  </si>
  <si>
    <t>PEST2</t>
  </si>
  <si>
    <t>PEST3</t>
  </si>
  <si>
    <t>PEST4</t>
  </si>
  <si>
    <t>PEST5</t>
  </si>
  <si>
    <t>PEST6</t>
  </si>
  <si>
    <t>PEST7</t>
  </si>
  <si>
    <t>PEST8</t>
  </si>
  <si>
    <t>PEST9</t>
  </si>
  <si>
    <t>PEST10</t>
  </si>
  <si>
    <t>FSA1</t>
  </si>
  <si>
    <t>FSA2</t>
  </si>
  <si>
    <t>FSA3</t>
  </si>
  <si>
    <t>FSA4</t>
  </si>
  <si>
    <t>FSA5</t>
  </si>
  <si>
    <t>FSA6</t>
  </si>
  <si>
    <t>FSA7</t>
  </si>
  <si>
    <t>FSA8</t>
  </si>
  <si>
    <t>FSA9</t>
  </si>
  <si>
    <t>FSA10</t>
  </si>
  <si>
    <t>Sewerage</t>
  </si>
  <si>
    <t>SEW1</t>
  </si>
  <si>
    <t>SEW2</t>
  </si>
  <si>
    <t>SEW3</t>
  </si>
  <si>
    <t>SEW4</t>
  </si>
  <si>
    <t>SEW5</t>
  </si>
  <si>
    <t>SEW6</t>
  </si>
  <si>
    <t>SEW7</t>
  </si>
  <si>
    <t>SEW8</t>
  </si>
  <si>
    <t>SEW9</t>
  </si>
  <si>
    <t>SEW10</t>
  </si>
  <si>
    <t>Diesel Engine</t>
  </si>
  <si>
    <t>DIE1</t>
  </si>
  <si>
    <t>DIE2</t>
  </si>
  <si>
    <t>DIE3</t>
  </si>
  <si>
    <t>DIE4</t>
  </si>
  <si>
    <t>DIE5</t>
  </si>
  <si>
    <t>DIE6</t>
  </si>
  <si>
    <t>DIE7</t>
  </si>
  <si>
    <t>DIE8</t>
  </si>
  <si>
    <t>DIE9</t>
  </si>
  <si>
    <t>DIE10</t>
  </si>
  <si>
    <t>SW1</t>
  </si>
  <si>
    <t>SW2</t>
  </si>
  <si>
    <t>SW3</t>
  </si>
  <si>
    <t>SW4</t>
  </si>
  <si>
    <t>SW5</t>
  </si>
  <si>
    <t>SW6</t>
  </si>
  <si>
    <t>SW7</t>
  </si>
  <si>
    <t>SW8</t>
  </si>
  <si>
    <t>SW9</t>
  </si>
  <si>
    <t>SW10</t>
  </si>
  <si>
    <t>Control Petrol diesel</t>
  </si>
  <si>
    <t>CPD1</t>
  </si>
  <si>
    <t>CPD2</t>
  </si>
  <si>
    <t>CPD3</t>
  </si>
  <si>
    <t>CPD4</t>
  </si>
  <si>
    <t>CPD5</t>
  </si>
  <si>
    <t>CPD6</t>
  </si>
  <si>
    <t>CPD7</t>
  </si>
  <si>
    <t>CPD8</t>
  </si>
  <si>
    <t>CPD9</t>
  </si>
  <si>
    <t>CPD10</t>
  </si>
  <si>
    <t>Solid Waste</t>
  </si>
  <si>
    <t>SOLID1</t>
  </si>
  <si>
    <t>SOLID2</t>
  </si>
  <si>
    <t>SOLID3</t>
  </si>
  <si>
    <t>SOLID4</t>
  </si>
  <si>
    <t>SOLID5</t>
  </si>
  <si>
    <t>SOLID6</t>
  </si>
  <si>
    <t>SOLID7</t>
  </si>
  <si>
    <t>SOLID8</t>
  </si>
  <si>
    <t>SOLID9</t>
  </si>
  <si>
    <t>SOLID10</t>
  </si>
  <si>
    <t>Clean Air</t>
  </si>
  <si>
    <t>CLEAN1</t>
  </si>
  <si>
    <t>CLEAN2</t>
  </si>
  <si>
    <t>CLEAN3</t>
  </si>
  <si>
    <t>CLEAN4</t>
  </si>
  <si>
    <t>CLEAN5</t>
  </si>
  <si>
    <t>CLEAN6</t>
  </si>
  <si>
    <t>CLEAN7</t>
  </si>
  <si>
    <t>CLEAN8</t>
  </si>
  <si>
    <t>CLEAN9</t>
  </si>
  <si>
    <t>CLEAN10</t>
  </si>
  <si>
    <t>Effluent</t>
  </si>
  <si>
    <t>EFF1</t>
  </si>
  <si>
    <t>EFF2</t>
  </si>
  <si>
    <t>EFF3</t>
  </si>
  <si>
    <t>EFF4</t>
  </si>
  <si>
    <t>EFF5</t>
  </si>
  <si>
    <t>EFF6</t>
  </si>
  <si>
    <t>EFF7</t>
  </si>
  <si>
    <t>EFF8</t>
  </si>
  <si>
    <t>EFF9</t>
  </si>
  <si>
    <t>EFF10</t>
  </si>
  <si>
    <t>USECHH1</t>
  </si>
  <si>
    <t>USECHH2</t>
  </si>
  <si>
    <t>USECHH3</t>
  </si>
  <si>
    <t>USECHH4</t>
  </si>
  <si>
    <t>USECHH5</t>
  </si>
  <si>
    <t>USECHH6</t>
  </si>
  <si>
    <t>USECHH7</t>
  </si>
  <si>
    <t>USECHH8</t>
  </si>
  <si>
    <t>USECHH9</t>
  </si>
  <si>
    <t>USECHH10</t>
  </si>
  <si>
    <t>CF1</t>
  </si>
  <si>
    <t>CF2</t>
  </si>
  <si>
    <t>CF3</t>
  </si>
  <si>
    <t>CF4</t>
  </si>
  <si>
    <t>CF5</t>
  </si>
  <si>
    <t>CF6</t>
  </si>
  <si>
    <t>CF7</t>
  </si>
  <si>
    <t>CF8</t>
  </si>
  <si>
    <t>CF9</t>
  </si>
  <si>
    <t>CF10</t>
  </si>
  <si>
    <t>Pestiside labelling</t>
  </si>
  <si>
    <t>PESTL1</t>
  </si>
  <si>
    <t>PESTL2</t>
  </si>
  <si>
    <t>PESTL3</t>
  </si>
  <si>
    <t>PESTL4</t>
  </si>
  <si>
    <t>PESTL5</t>
  </si>
  <si>
    <t>PESTL6</t>
  </si>
  <si>
    <t>PESTL7</t>
  </si>
  <si>
    <t>PESTL8</t>
  </si>
  <si>
    <t>PESTL9</t>
  </si>
  <si>
    <t>PESTL10</t>
  </si>
  <si>
    <t>CLASS1</t>
  </si>
  <si>
    <t>CLASS2</t>
  </si>
  <si>
    <t>CLASS3</t>
  </si>
  <si>
    <t>CLASS4</t>
  </si>
  <si>
    <t>CLASS5</t>
  </si>
  <si>
    <t>CLASS6</t>
  </si>
  <si>
    <t>CLASS7</t>
  </si>
  <si>
    <t>CLASS8</t>
  </si>
  <si>
    <t>CLASS9</t>
  </si>
  <si>
    <t>CLASS10</t>
  </si>
  <si>
    <t>NADOPOD1</t>
  </si>
  <si>
    <t>NADOPOD2</t>
  </si>
  <si>
    <t>NADOPOD3</t>
  </si>
  <si>
    <t>NADOPOD4</t>
  </si>
  <si>
    <t>NADOPOD5</t>
  </si>
  <si>
    <t>NADOPOD6</t>
  </si>
  <si>
    <t>NADOPOD7</t>
  </si>
  <si>
    <t>NADOPOD8</t>
  </si>
  <si>
    <t>NADOPOD9</t>
  </si>
  <si>
    <t>NADOPOD10</t>
  </si>
  <si>
    <t>Noise</t>
  </si>
  <si>
    <t>NOISE1</t>
  </si>
  <si>
    <t>NOISE2</t>
  </si>
  <si>
    <t>NOISE3</t>
  </si>
  <si>
    <t>NOISE4</t>
  </si>
  <si>
    <t>NOISE5</t>
  </si>
  <si>
    <t>NOISE6</t>
  </si>
  <si>
    <t>NOISE7</t>
  </si>
  <si>
    <t>NOISE8</t>
  </si>
  <si>
    <t>NOISE9</t>
  </si>
  <si>
    <t>NOISE10</t>
  </si>
  <si>
    <t>SHC1</t>
  </si>
  <si>
    <t>SHC2</t>
  </si>
  <si>
    <t>SHC3</t>
  </si>
  <si>
    <t>SHC4</t>
  </si>
  <si>
    <t>SHC5</t>
  </si>
  <si>
    <t>SHC6</t>
  </si>
  <si>
    <t>SHC7</t>
  </si>
  <si>
    <t>SHC8</t>
  </si>
  <si>
    <t>SHC9</t>
  </si>
  <si>
    <t>SHC10</t>
  </si>
  <si>
    <t>CDM1</t>
  </si>
  <si>
    <t>CDM2</t>
  </si>
  <si>
    <t>CDM3</t>
  </si>
  <si>
    <t>CDM4</t>
  </si>
  <si>
    <t>CDM5</t>
  </si>
  <si>
    <t>CDM6</t>
  </si>
  <si>
    <t>CDM7</t>
  </si>
  <si>
    <t>CDM8</t>
  </si>
  <si>
    <t>CDM9</t>
  </si>
  <si>
    <t>CDM10</t>
  </si>
  <si>
    <t>FC1</t>
  </si>
  <si>
    <t>FC2</t>
  </si>
  <si>
    <t>FC3</t>
  </si>
  <si>
    <t>FC4</t>
  </si>
  <si>
    <t>FC5</t>
  </si>
  <si>
    <t>FC6</t>
  </si>
  <si>
    <t>FC7</t>
  </si>
  <si>
    <t>FC8</t>
  </si>
  <si>
    <t>FC9</t>
  </si>
  <si>
    <t>FC10</t>
  </si>
  <si>
    <t>Sewage</t>
  </si>
  <si>
    <t>SEWAGE1</t>
  </si>
  <si>
    <t>SEWAGE2</t>
  </si>
  <si>
    <t>SEWAGE3</t>
  </si>
  <si>
    <t>SEWAGE4</t>
  </si>
  <si>
    <t>SEWAGE5</t>
  </si>
  <si>
    <t>SEWAGE6</t>
  </si>
  <si>
    <t>SEWAGE7</t>
  </si>
  <si>
    <t>SEWAGE8</t>
  </si>
  <si>
    <t>SEWAGE9</t>
  </si>
  <si>
    <t>SEWAGE10</t>
  </si>
  <si>
    <t>REFG1</t>
  </si>
  <si>
    <t>REFG2</t>
  </si>
  <si>
    <t>REFG3</t>
  </si>
  <si>
    <t>REFG4</t>
  </si>
  <si>
    <t>REFG5</t>
  </si>
  <si>
    <t>REFG6</t>
  </si>
  <si>
    <t>REFG7</t>
  </si>
  <si>
    <t>REFG8</t>
  </si>
  <si>
    <t>REFG9</t>
  </si>
  <si>
    <t>REFG10</t>
  </si>
  <si>
    <t>Sewerage System</t>
  </si>
  <si>
    <t>SEWS1</t>
  </si>
  <si>
    <t>SEWS2</t>
  </si>
  <si>
    <t>SEWS3</t>
  </si>
  <si>
    <t>SEWS4</t>
  </si>
  <si>
    <t>SEWS5</t>
  </si>
  <si>
    <t>SEWS6</t>
  </si>
  <si>
    <t>SEWS7</t>
  </si>
  <si>
    <t>SEWS8</t>
  </si>
  <si>
    <t>SEWS9</t>
  </si>
  <si>
    <t>SEWS10</t>
  </si>
  <si>
    <t>MHA1</t>
  </si>
  <si>
    <t>MHA2</t>
  </si>
  <si>
    <t>MHA3</t>
  </si>
  <si>
    <t>MHA4</t>
  </si>
  <si>
    <t>MHA5</t>
  </si>
  <si>
    <t>MHA6</t>
  </si>
  <si>
    <t>MHA7</t>
  </si>
  <si>
    <t>MHA8</t>
  </si>
  <si>
    <t>MHA9</t>
  </si>
  <si>
    <t>MHA10</t>
  </si>
  <si>
    <t>UBBL1</t>
  </si>
  <si>
    <t>UBBL2</t>
  </si>
  <si>
    <t>UBBL3</t>
  </si>
  <si>
    <t>UBBL4</t>
  </si>
  <si>
    <t>UBBL5</t>
  </si>
  <si>
    <t>UBBL6</t>
  </si>
  <si>
    <t>UBBL7</t>
  </si>
  <si>
    <t>UBBL8</t>
  </si>
  <si>
    <t>UBBL9</t>
  </si>
  <si>
    <t>UBBL10</t>
  </si>
  <si>
    <t>ICOPTR1</t>
  </si>
  <si>
    <t>ICOPTR2</t>
  </si>
  <si>
    <t>ICOPTR3</t>
  </si>
  <si>
    <t>ICOPTR4</t>
  </si>
  <si>
    <t>ICOPTR5</t>
  </si>
  <si>
    <t>ICOPTR6</t>
  </si>
  <si>
    <t>ICOPTR7</t>
  </si>
  <si>
    <t>ICOPTR8</t>
  </si>
  <si>
    <t>ICOPTR9</t>
  </si>
  <si>
    <t>ICOPTR10</t>
  </si>
  <si>
    <r>
      <t xml:space="preserve">1. </t>
    </r>
    <r>
      <rPr>
        <b/>
        <sz val="9"/>
        <color theme="1"/>
        <rFont val="Aptos"/>
        <family val="2"/>
      </rPr>
      <t>User completes Main checklist;</t>
    </r>
    <r>
      <rPr>
        <sz val="9"/>
        <color theme="1"/>
        <rFont val="Aptos"/>
        <family val="2"/>
      </rPr>
      <t xml:space="preserve"> applicability is generated in legal requirement tabs.</t>
    </r>
  </si>
  <si>
    <r>
      <t xml:space="preserve">2. Applicable items are assessed as </t>
    </r>
    <r>
      <rPr>
        <b/>
        <sz val="9"/>
        <color theme="9" tint="-0.249977111117893"/>
        <rFont val="Aptos"/>
        <family val="2"/>
      </rPr>
      <t>Comply</t>
    </r>
    <r>
      <rPr>
        <sz val="9"/>
        <color theme="1"/>
        <rFont val="Aptos"/>
        <family val="2"/>
      </rPr>
      <t xml:space="preserve"> / </t>
    </r>
    <r>
      <rPr>
        <b/>
        <sz val="9"/>
        <color rgb="FFFF0000"/>
        <rFont val="Aptos"/>
        <family val="2"/>
      </rPr>
      <t>Not Comply</t>
    </r>
    <r>
      <rPr>
        <sz val="9"/>
        <color theme="1"/>
        <rFont val="Aptos"/>
        <family val="2"/>
      </rPr>
      <t>; non-applicable items can be marked NA.</t>
    </r>
  </si>
  <si>
    <r>
      <t xml:space="preserve">4. </t>
    </r>
    <r>
      <rPr>
        <b/>
        <sz val="9"/>
        <color theme="1"/>
        <rFont val="Aptos"/>
        <family val="2"/>
      </rPr>
      <t>Action_Tracker</t>
    </r>
    <r>
      <rPr>
        <sz val="9"/>
        <color theme="1"/>
        <rFont val="Aptos"/>
        <family val="2"/>
      </rPr>
      <t xml:space="preserve"> records owner, due date, evidence and RAG status for every gap.</t>
    </r>
  </si>
  <si>
    <t>Automatically lists all legal requirements evaluated as Not Comply. Complete the target date, action status and closure evidence in this tracker.</t>
  </si>
  <si>
    <t>Reporting hierarchy: Acts → Regulations → Rules / By-Laws → ICOP → Guidance</t>
  </si>
  <si>
    <t>OSHE Legal Compliance</t>
  </si>
  <si>
    <t>Plant</t>
  </si>
  <si>
    <t>Main office</t>
  </si>
  <si>
    <t>Office</t>
  </si>
  <si>
    <t>Facilities / Infrastructure</t>
  </si>
  <si>
    <t>Workshops</t>
  </si>
  <si>
    <t>Legal Compliance Identification Checklist</t>
  </si>
  <si>
    <t>OSHE Legal Evaluation and Assessment</t>
  </si>
  <si>
    <t>Specific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</si>
</sst>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0.000"/>
  </numFmts>
  <fonts count="81">
    <font>
      <sz val="11"/>
      <color theme="1"/>
      <name val="Aptos Narrow"/>
      <family val="2"/>
      <scheme val="minor"/>
    </font>
    <font>
      <b/>
      <sz val="24"/>
      <color theme="1"/>
      <name val="Aptos Narrow"/>
      <family val="2"/>
      <scheme val="minor"/>
    </font>
    <font>
      <i/>
      <sz val="11"/>
      <color theme="1"/>
      <name val="Aptos Narrow"/>
      <family val="2"/>
      <scheme val="minor"/>
    </font>
    <font>
      <b/>
      <sz val="18"/>
      <color theme="1"/>
      <name val="Aptos Narrow"/>
      <family val="2"/>
      <scheme val="minor"/>
    </font>
    <font>
      <b/>
      <sz val="11"/>
      <color theme="1"/>
      <name val="Aptos Narrow"/>
      <family val="2"/>
      <scheme val="minor"/>
    </font>
    <font>
      <b/>
      <sz val="12"/>
      <color theme="1"/>
      <name val="Aptos Narrow"/>
      <family val="2"/>
      <scheme val="minor"/>
    </font>
    <font>
      <sz val="9"/>
      <color theme="1"/>
      <name val="Arial Narrow"/>
      <family val="2"/>
    </font>
    <font>
      <sz val="11"/>
      <color theme="0"/>
      <name val="Aptos Narrow"/>
      <family val="2"/>
      <scheme val="minor"/>
    </font>
    <font>
      <u/>
      <sz val="11"/>
      <color theme="10"/>
      <name val="Aptos Narrow"/>
      <family val="2"/>
      <scheme val="minor"/>
    </font>
    <font>
      <u/>
      <sz val="11"/>
      <color theme="1"/>
      <name val="Aptos Narrow"/>
      <family val="2"/>
      <scheme val="minor"/>
    </font>
    <font>
      <sz val="11"/>
      <name val="Aptos Narrow"/>
      <family val="2"/>
      <scheme val="minor"/>
    </font>
    <font>
      <sz val="8"/>
      <name val="Aptos Narrow"/>
      <family val="2"/>
      <scheme val="minor"/>
    </font>
    <font>
      <sz val="8"/>
      <color theme="1"/>
      <name val="Aptos Narrow"/>
      <family val="2"/>
      <scheme val="minor"/>
    </font>
    <font>
      <sz val="9"/>
      <color theme="1"/>
      <name val="Aptos Narrow"/>
      <family val="2"/>
      <scheme val="minor"/>
    </font>
    <font>
      <sz val="11"/>
      <color theme="1"/>
      <name val="Wingdings 2"/>
      <family val="1"/>
      <charset val="2"/>
    </font>
    <font>
      <b/>
      <sz val="18"/>
      <color rgb="FFFFFFFF"/>
      <name val="Aptos Narrow"/>
      <family val="2"/>
    </font>
    <font>
      <i/>
      <sz val="10"/>
      <color rgb="FF111827"/>
      <name val="Aptos Narrow"/>
      <family val="2"/>
    </font>
    <font>
      <sz val="9"/>
      <color rgb="FF111827"/>
      <name val="Aptos Narrow"/>
      <family val="2"/>
    </font>
    <font>
      <b/>
      <sz val="10"/>
      <color rgb="FFFFFFFF"/>
      <name val="Aptos Narrow"/>
      <family val="2"/>
    </font>
    <font>
      <b/>
      <sz val="11"/>
      <color rgb="FFFFFFFF"/>
      <name val="Aptos Narrow"/>
      <family val="2"/>
    </font>
    <font>
      <b/>
      <sz val="9"/>
      <color rgb="FF111827"/>
      <name val="Aptos Narrow"/>
      <family val="2"/>
    </font>
    <font>
      <b/>
      <sz val="16"/>
      <color rgb="FFFFFFFF"/>
      <name val="Aptos Narrow"/>
      <family val="2"/>
    </font>
    <font>
      <i/>
      <sz val="11"/>
      <color theme="1"/>
      <name val="Aptos Narrow"/>
      <family val="2"/>
    </font>
    <font>
      <b/>
      <sz val="11"/>
      <color theme="1"/>
      <name val="Aptos Narrow"/>
      <family val="2"/>
    </font>
    <font>
      <b/>
      <sz val="20"/>
      <color rgb="FFFFFFFF"/>
      <name val="Aptos"/>
      <family val="2"/>
    </font>
    <font>
      <i/>
      <sz val="10"/>
      <color rgb="FF1F4E78"/>
      <name val="Aptos"/>
      <family val="2"/>
    </font>
    <font>
      <b/>
      <sz val="10"/>
      <color rgb="FFFFFFFF"/>
      <name val="Aptos"/>
      <family val="2"/>
    </font>
    <font>
      <sz val="9"/>
      <color theme="1"/>
      <name val="Aptos"/>
      <family val="2"/>
    </font>
    <font>
      <b/>
      <sz val="9"/>
      <color rgb="FF274E13"/>
      <name val="Aptos"/>
      <family val="2"/>
    </font>
    <font>
      <b/>
      <sz val="22"/>
      <color rgb="FF1F4E78"/>
      <name val="Aptos"/>
      <family val="2"/>
    </font>
    <font>
      <b/>
      <sz val="11"/>
      <color theme="1"/>
      <name val="Aptos"/>
      <family val="2"/>
    </font>
    <font>
      <sz val="8"/>
      <color theme="1"/>
      <name val="Aptos"/>
      <family val="2"/>
    </font>
    <font>
      <b/>
      <sz val="8"/>
      <color rgb="FFFFFFFF"/>
      <name val="Aptos"/>
      <family val="2"/>
    </font>
    <font>
      <sz val="10"/>
      <color rgb="FF1F2937"/>
      <name val="Aptos"/>
      <family val="2"/>
    </font>
    <font>
      <b/>
      <sz val="42"/>
      <color rgb="FF0B2D5F"/>
      <name val="Aptos Display"/>
      <family val="2"/>
    </font>
    <font>
      <b/>
      <sz val="34"/>
      <color rgb="FFFFFFFF"/>
      <name val="Aptos Display"/>
      <family val="2"/>
    </font>
    <font>
      <b/>
      <sz val="18"/>
      <color rgb="FFFFFFFF"/>
      <name val="Aptos Display"/>
      <family val="2"/>
    </font>
    <font>
      <b/>
      <sz val="10"/>
      <color rgb="FFE5F2FF"/>
      <name val="Aptos"/>
      <family val="2"/>
    </font>
    <font>
      <b/>
      <sz val="18"/>
      <color rgb="FF0B2D5F"/>
      <name val="Aptos"/>
      <family val="2"/>
    </font>
    <font>
      <b/>
      <sz val="11"/>
      <color rgb="FF0B2D5F"/>
      <name val="Aptos"/>
      <family val="2"/>
    </font>
    <font>
      <b/>
      <sz val="20"/>
      <color rgb="FF0B2D5F"/>
      <name val="Aptos"/>
      <family val="2"/>
    </font>
    <font>
      <b/>
      <sz val="18"/>
      <color rgb="FF16823A"/>
      <name val="Aptos"/>
      <family val="2"/>
    </font>
    <font>
      <b/>
      <sz val="11"/>
      <color rgb="FF16823A"/>
      <name val="Aptos"/>
      <family val="2"/>
    </font>
    <font>
      <b/>
      <sz val="20"/>
      <color rgb="FF16823A"/>
      <name val="Aptos"/>
      <family val="2"/>
    </font>
    <font>
      <b/>
      <sz val="18"/>
      <color rgb="FF1565C0"/>
      <name val="Aptos"/>
      <family val="2"/>
    </font>
    <font>
      <b/>
      <sz val="11"/>
      <color rgb="FF1565C0"/>
      <name val="Aptos"/>
      <family val="2"/>
    </font>
    <font>
      <b/>
      <sz val="24"/>
      <color rgb="FF16823A"/>
      <name val="Aptos"/>
      <family val="2"/>
    </font>
    <font>
      <b/>
      <sz val="22"/>
      <color rgb="FF0B2D5F"/>
      <name val="Aptos"/>
      <family val="2"/>
    </font>
    <font>
      <b/>
      <sz val="24"/>
      <color rgb="FF1565C0"/>
      <name val="Aptos"/>
      <family val="2"/>
    </font>
    <font>
      <sz val="9"/>
      <color rgb="FF1F2937"/>
      <name val="Aptos"/>
      <family val="2"/>
    </font>
    <font>
      <b/>
      <sz val="10"/>
      <color rgb="FF0B2D5F"/>
      <name val="Aptos"/>
      <family val="2"/>
    </font>
    <font>
      <sz val="10"/>
      <color rgb="FF1F2937"/>
      <name val="Aptos"/>
      <family val="2"/>
    </font>
    <font>
      <b/>
      <sz val="14"/>
      <color rgb="FF0B2D5F"/>
      <name val="Aptos"/>
      <family val="2"/>
    </font>
    <font>
      <b/>
      <sz val="22"/>
      <color rgb="FFFFFFFF"/>
      <name val="Aptos"/>
      <family val="2"/>
    </font>
    <font>
      <b/>
      <sz val="10"/>
      <color rgb="FFFFFFFF"/>
      <name val="Aptos"/>
      <family val="2"/>
    </font>
    <font>
      <b/>
      <sz val="14"/>
      <color rgb="FF16823A"/>
      <name val="Aptos"/>
      <family val="2"/>
    </font>
    <font>
      <b/>
      <sz val="14"/>
      <color rgb="FF1565C0"/>
      <name val="Aptos"/>
      <family val="2"/>
    </font>
    <font>
      <sz val="10"/>
      <color theme="1"/>
      <name val="Aptos Narrow"/>
      <family val="2"/>
      <scheme val="minor"/>
    </font>
    <font>
      <b/>
      <sz val="28"/>
      <color rgb="FF0B2D5F"/>
      <name val="Aptos Display"/>
      <family val="2"/>
    </font>
    <font>
      <b/>
      <sz val="20"/>
      <color rgb="FF0B57D0"/>
      <name val="Aptos Display"/>
      <family val="2"/>
    </font>
    <font>
      <sz val="9"/>
      <color rgb="FF111827"/>
      <name val="Aptos Narrow"/>
      <family val="2"/>
    </font>
    <font>
      <sz val="9"/>
      <color theme="1"/>
      <name val="Aptos"/>
      <family val="2"/>
    </font>
    <font>
      <b/>
      <sz val="9"/>
      <color theme="1"/>
      <name val="Aptos"/>
      <family val="2"/>
    </font>
    <font>
      <i/>
      <sz val="8"/>
      <color theme="1"/>
      <name val="Arial Narrow"/>
      <family val="2"/>
    </font>
    <font>
      <i/>
      <sz val="8"/>
      <color theme="0" tint="-0.499984740745262"/>
      <name val="Arial Narrow"/>
      <family val="2"/>
    </font>
    <font>
      <sz val="8"/>
      <color rgb="FF000000"/>
      <name val="Segoe UI"/>
      <family val="2"/>
    </font>
    <font>
      <sz val="8"/>
      <color theme="1"/>
      <name val="Arial Narrow"/>
      <family val="2"/>
    </font>
    <font>
      <b/>
      <sz val="18"/>
      <color rgb="FFFFFFFF"/>
      <name val="Calibri"/>
      <family val="2"/>
    </font>
    <font>
      <b/>
      <sz val="13"/>
      <name val="Calibri"/>
      <family val="2"/>
    </font>
    <font>
      <b/>
      <sz val="12"/>
      <color rgb="FFFFFFFF"/>
      <name val="Calibri"/>
      <family val="2"/>
    </font>
    <font>
      <b/>
      <sz val="22"/>
      <color rgb="FFFFFFFF"/>
      <name val="Webdings"/>
      <family val="1"/>
      <charset val="2"/>
    </font>
    <font>
      <b/>
      <sz val="18"/>
      <color rgb="FFFFFFFF"/>
      <name val="Calibri"/>
      <family val="1"/>
      <charset val="2"/>
    </font>
    <font>
      <b/>
      <sz val="16"/>
      <color rgb="FFFFFFFF"/>
      <name val="Aptos Narrow"/>
      <family val="2"/>
    </font>
    <font>
      <i/>
      <sz val="10"/>
      <color rgb="FF244062"/>
      <name val="Aptos Narrow"/>
      <family val="2"/>
    </font>
    <font>
      <b/>
      <sz val="11"/>
      <color rgb="FFFFFFFF"/>
      <name val="Aptos Narrow"/>
      <family val="2"/>
    </font>
    <font>
      <sz val="10"/>
      <color theme="1"/>
      <name val="Aptos Narrow"/>
      <family val="2"/>
    </font>
    <font>
      <b/>
      <sz val="10"/>
      <color rgb="FF1F1F1F"/>
      <name val="Aptos Narrow"/>
      <family val="2"/>
    </font>
    <font>
      <sz val="8"/>
      <name val="Aptos"/>
      <family val="2"/>
    </font>
    <font>
      <b/>
      <sz val="9"/>
      <color theme="9" tint="-0.249977111117893"/>
      <name val="Aptos"/>
      <family val="2"/>
    </font>
    <font>
      <b/>
      <sz val="9"/>
      <color rgb="FFFF0000"/>
      <name val="Aptos"/>
      <family val="2"/>
    </font>
    <font>
      <i/>
      <sz val="11"/>
      <color rgb="FF44546A"/>
      <name val="Aptos Narrow"/>
      <family val="2"/>
    </font>
  </fonts>
  <fills count="40">
    <fill>
      <patternFill patternType="none"/>
    </fill>
    <fill>
      <patternFill patternType="gray125"/>
    </fill>
    <fill>
      <patternFill patternType="solid">
        <fgColor theme="5" tint="0.79998168889431442"/>
        <bgColor indexed="64"/>
      </patternFill>
    </fill>
    <fill>
      <patternFill patternType="solid">
        <fgColor theme="9" tint="0.79998168889431442"/>
        <bgColor indexed="64"/>
      </patternFill>
    </fill>
    <fill>
      <patternFill patternType="solid">
        <fgColor rgb="FFFEF5F0"/>
        <bgColor indexed="64"/>
      </patternFill>
    </fill>
    <fill>
      <patternFill patternType="solid">
        <fgColor theme="1"/>
        <bgColor indexed="64"/>
      </patternFill>
    </fill>
    <fill>
      <patternFill patternType="solid">
        <fgColor theme="7" tint="0.79998168889431442"/>
        <bgColor indexed="64"/>
      </patternFill>
    </fill>
    <fill>
      <patternFill patternType="solid">
        <fgColor rgb="FF0B2F63"/>
      </patternFill>
    </fill>
    <fill>
      <patternFill patternType="solid">
        <fgColor rgb="FFEAF2FF"/>
      </patternFill>
    </fill>
    <fill>
      <patternFill patternType="solid">
        <fgColor rgb="FFFFF2CC"/>
      </patternFill>
    </fill>
    <fill>
      <patternFill patternType="solid">
        <fgColor rgb="FF1D4ED8"/>
      </patternFill>
    </fill>
    <fill>
      <patternFill patternType="solid">
        <fgColor rgb="FFD9EAD3"/>
      </patternFill>
    </fill>
    <fill>
      <patternFill patternType="solid">
        <fgColor rgb="FFF8FAFC"/>
      </patternFill>
    </fill>
    <fill>
      <patternFill patternType="solid">
        <fgColor rgb="FF1F4E78"/>
      </patternFill>
    </fill>
    <fill>
      <patternFill patternType="solid">
        <fgColor rgb="FFEAF3F8"/>
      </patternFill>
    </fill>
    <fill>
      <patternFill patternType="solid">
        <fgColor rgb="FF5B9BD5"/>
      </patternFill>
    </fill>
    <fill>
      <patternFill patternType="solid">
        <fgColor rgb="FFD9EAF7"/>
      </patternFill>
    </fill>
    <fill>
      <patternFill patternType="solid">
        <fgColor rgb="FFF3F6F8"/>
      </patternFill>
    </fill>
    <fill>
      <patternFill patternType="solid">
        <fgColor rgb="FFE2F0D9"/>
      </patternFill>
    </fill>
    <fill>
      <patternFill patternType="solid">
        <fgColor rgb="FFF8FBFD"/>
      </patternFill>
    </fill>
    <fill>
      <patternFill patternType="solid">
        <fgColor rgb="FFFFFFFF"/>
      </patternFill>
    </fill>
    <fill>
      <patternFill patternType="solid">
        <fgColor rgb="FF071E42"/>
      </patternFill>
    </fill>
    <fill>
      <patternFill patternType="solid">
        <fgColor rgb="FFEAF3FF"/>
      </patternFill>
    </fill>
    <fill>
      <patternFill patternType="solid">
        <fgColor rgb="FFF6FAFF"/>
      </patternFill>
    </fill>
    <fill>
      <patternFill patternType="solid">
        <fgColor rgb="FF0B2D5F"/>
      </patternFill>
    </fill>
    <fill>
      <patternFill patternType="solid">
        <fgColor theme="7" tint="-0.499984740745262"/>
        <bgColor indexed="64"/>
      </patternFill>
    </fill>
    <fill>
      <patternFill patternType="solid">
        <fgColor theme="3" tint="0.89999084444715716"/>
        <bgColor indexed="64"/>
      </patternFill>
    </fill>
    <fill>
      <patternFill patternType="solid">
        <fgColor rgb="FF5B9BD5"/>
        <bgColor indexed="64"/>
      </patternFill>
    </fill>
    <fill>
      <patternFill patternType="solid">
        <fgColor rgb="FFF3F6F8"/>
        <bgColor indexed="64"/>
      </patternFill>
    </fill>
    <fill>
      <patternFill patternType="solid">
        <fgColor rgb="FF1F4E78"/>
        <bgColor indexed="64"/>
      </patternFill>
    </fill>
    <fill>
      <patternFill patternType="solid">
        <fgColor rgb="FFFFF2CC"/>
        <bgColor indexed="64"/>
      </patternFill>
    </fill>
    <fill>
      <patternFill patternType="solid">
        <fgColor rgb="FFEAF3F8"/>
        <bgColor indexed="64"/>
      </patternFill>
    </fill>
    <fill>
      <patternFill patternType="solid">
        <fgColor rgb="FFF8FBFD"/>
        <bgColor indexed="64"/>
      </patternFill>
    </fill>
    <fill>
      <patternFill patternType="solid">
        <fgColor rgb="FF154360"/>
      </patternFill>
    </fill>
    <fill>
      <patternFill patternType="solid">
        <fgColor rgb="FF1F77C8"/>
      </patternFill>
    </fill>
    <fill>
      <patternFill patternType="solid">
        <fgColor rgb="FF3D8B2F"/>
      </patternFill>
    </fill>
    <fill>
      <patternFill patternType="solid">
        <fgColor rgb="FF8B1E1E"/>
      </patternFill>
    </fill>
    <fill>
      <patternFill patternType="solid">
        <fgColor rgb="FF17365D"/>
      </patternFill>
    </fill>
    <fill>
      <patternFill patternType="solid">
        <fgColor rgb="FFF4F8FB"/>
      </patternFill>
    </fill>
    <fill>
      <patternFill patternType="solid">
        <fgColor rgb="FFF3F7FA"/>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theme="1" tint="0.24994659260841701"/>
      </left>
      <right/>
      <top style="thin">
        <color theme="1" tint="0.24994659260841701"/>
      </top>
      <bottom/>
      <diagonal/>
    </border>
    <border>
      <left/>
      <right/>
      <top style="thin">
        <color theme="1" tint="0.24994659260841701"/>
      </top>
      <bottom/>
      <diagonal/>
    </border>
    <border>
      <left/>
      <right style="thin">
        <color theme="1" tint="0.24994659260841701"/>
      </right>
      <top style="thin">
        <color theme="1" tint="0.24994659260841701"/>
      </top>
      <bottom/>
      <diagonal/>
    </border>
    <border>
      <left style="thin">
        <color theme="1" tint="0.24994659260841701"/>
      </left>
      <right/>
      <top/>
      <bottom style="thin">
        <color theme="1" tint="0.24994659260841701"/>
      </bottom>
      <diagonal/>
    </border>
    <border>
      <left/>
      <right/>
      <top/>
      <bottom style="thin">
        <color theme="1" tint="0.24994659260841701"/>
      </bottom>
      <diagonal/>
    </border>
    <border>
      <left/>
      <right style="thin">
        <color theme="1" tint="0.24994659260841701"/>
      </right>
      <top/>
      <bottom style="thin">
        <color theme="1" tint="0.2499465926084170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theme="1" tint="0.24994659260841701"/>
      </left>
      <right/>
      <top style="thin">
        <color theme="1" tint="0.24994659260841701"/>
      </top>
      <bottom style="thin">
        <color theme="1" tint="0.24994659260841701"/>
      </bottom>
      <diagonal/>
    </border>
    <border>
      <left/>
      <right/>
      <top style="thin">
        <color theme="1" tint="0.24994659260841701"/>
      </top>
      <bottom style="thin">
        <color theme="1" tint="0.24994659260841701"/>
      </bottom>
      <diagonal/>
    </border>
    <border>
      <left/>
      <right style="thin">
        <color theme="1" tint="0.24994659260841701"/>
      </right>
      <top style="thin">
        <color theme="1" tint="0.24994659260841701"/>
      </top>
      <bottom style="thin">
        <color theme="1" tint="0.24994659260841701"/>
      </bottom>
      <diagonal/>
    </border>
    <border>
      <left style="thin">
        <color indexed="64"/>
      </left>
      <right style="thin">
        <color indexed="64"/>
      </right>
      <top style="thick">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1" tint="0.24994659260841701"/>
      </left>
      <right/>
      <top/>
      <bottom/>
      <diagonal/>
    </border>
    <border>
      <left/>
      <right style="thin">
        <color theme="1" tint="0.24994659260841701"/>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D9E1F2"/>
      </left>
      <right/>
      <top style="thin">
        <color rgb="FFD9E1F2"/>
      </top>
      <bottom/>
      <diagonal/>
    </border>
    <border>
      <left/>
      <right/>
      <top style="thin">
        <color rgb="FFD9E1F2"/>
      </top>
      <bottom/>
      <diagonal/>
    </border>
    <border>
      <left/>
      <right style="thin">
        <color rgb="FFD9E1F2"/>
      </right>
      <top style="thin">
        <color rgb="FFD9E1F2"/>
      </top>
      <bottom/>
      <diagonal/>
    </border>
    <border>
      <left style="thin">
        <color rgb="FFD9E1F2"/>
      </left>
      <right/>
      <top/>
      <bottom/>
      <diagonal/>
    </border>
    <border>
      <left/>
      <right style="thin">
        <color rgb="FFD9E1F2"/>
      </right>
      <top/>
      <bottom/>
      <diagonal/>
    </border>
    <border>
      <left/>
      <right/>
      <top/>
      <bottom style="thin">
        <color rgb="FFD9E1F2"/>
      </bottom>
      <diagonal/>
    </border>
    <border>
      <left/>
      <right style="thin">
        <color rgb="FFD9E1F2"/>
      </right>
      <top/>
      <bottom style="thin">
        <color rgb="FFD9E1F2"/>
      </bottom>
      <diagonal/>
    </border>
  </borders>
  <cellStyleXfs count="2">
    <xf numFmtId="0" fontId="0" fillId="0" borderId="0"/>
    <xf numFmtId="0" fontId="8" fillId="0" borderId="0" applyNumberFormat="0" applyFill="0" applyBorder="0" applyAlignment="0" applyProtection="0"/>
  </cellStyleXfs>
  <cellXfs count="237">
    <xf numFmtId="0" fontId="0" fillId="0" borderId="0" xfId="0"/>
    <xf numFmtId="0" fontId="1" fillId="0" borderId="0" xfId="0" applyFont="1" applyAlignment="1">
      <alignment vertical="center"/>
    </xf>
    <xf numFmtId="0" fontId="2" fillId="0" borderId="0" xfId="0" applyFont="1"/>
    <xf numFmtId="0" fontId="3" fillId="0" borderId="0" xfId="0" applyFont="1" applyAlignment="1">
      <alignment vertical="center"/>
    </xf>
    <xf numFmtId="0" fontId="0" fillId="0" borderId="0" xfId="0" applyAlignment="1">
      <alignment horizontal="left" vertical="center" indent="1"/>
    </xf>
    <xf numFmtId="0" fontId="0" fillId="0" borderId="0" xfId="0" applyAlignment="1">
      <alignment horizontal="left" vertical="center" indent="2"/>
    </xf>
    <xf numFmtId="0" fontId="0" fillId="0" borderId="0" xfId="0">
      <extLst>
        <ext xmlns:xfpb="http://schemas.microsoft.com/office/spreadsheetml/2022/featurepropertybag" uri="{C7286773-470A-42A8-94C5-96B5CB345126}">
          <xfpb:xfComplement i="0"/>
        </ext>
      </extLst>
    </xf>
    <xf numFmtId="0" fontId="0" fillId="0" borderId="0" xfId="0" applyAlignment="1">
      <alignment horizontal="left" vertical="center" indent="3"/>
    </xf>
    <xf numFmtId="0" fontId="0" fillId="0" borderId="0" xfId="0" applyAlignment="1">
      <alignment wrapText="1"/>
    </xf>
    <xf numFmtId="0" fontId="0" fillId="0" borderId="1" xfId="0" applyBorder="1" applyAlignment="1">
      <alignment wrapText="1"/>
    </xf>
    <xf numFmtId="0" fontId="5" fillId="0" borderId="0" xfId="0" applyFont="1"/>
    <xf numFmtId="0" fontId="5" fillId="0" borderId="0" xfId="0" applyFont="1" applyAlignment="1">
      <alignment wrapText="1"/>
    </xf>
    <xf numFmtId="0" fontId="4" fillId="2" borderId="2" xfId="0" applyFont="1" applyFill="1" applyBorder="1" applyAlignment="1">
      <alignmen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0" fontId="0" fillId="3" borderId="1" xfId="0" applyFill="1" applyBorder="1" applyAlignment="1">
      <alignment vertical="top"/>
    </xf>
    <xf numFmtId="0" fontId="0" fillId="3" borderId="1" xfId="0" applyFill="1" applyBorder="1" applyAlignment="1">
      <alignment vertical="top" wrapText="1"/>
    </xf>
    <xf numFmtId="0" fontId="4" fillId="0" borderId="0" xfId="0" applyFont="1" applyAlignment="1">
      <alignment vertical="top"/>
    </xf>
    <xf numFmtId="0" fontId="5" fillId="0" borderId="0" xfId="0" applyFont="1" applyAlignment="1">
      <alignment vertical="top" wrapText="1"/>
    </xf>
    <xf numFmtId="0" fontId="0" fillId="0" borderId="0" xfId="0" applyAlignment="1">
      <alignment horizontal="center" vertical="top" wrapText="1"/>
    </xf>
    <xf numFmtId="0" fontId="4" fillId="2" borderId="2"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horizontal="center" vertical="top" wrapText="1"/>
    </xf>
    <xf numFmtId="0" fontId="0" fillId="0" borderId="13" xfId="0" applyBorder="1" applyAlignment="1">
      <alignment vertical="top" wrapText="1"/>
    </xf>
    <xf numFmtId="0" fontId="0" fillId="0" borderId="13" xfId="0" applyBorder="1" applyAlignment="1">
      <alignment horizontal="center" vertical="top" wrapText="1"/>
    </xf>
    <xf numFmtId="0" fontId="7" fillId="0" borderId="0" xfId="0" applyFont="1"/>
    <xf numFmtId="0" fontId="0" fillId="0" borderId="13" xfId="0" applyBorder="1" applyAlignment="1">
      <alignment wrapText="1"/>
    </xf>
    <xf numFmtId="0" fontId="0" fillId="0" borderId="17" xfId="0" applyBorder="1" applyAlignment="1">
      <alignment wrapText="1"/>
    </xf>
    <xf numFmtId="0" fontId="0" fillId="0" borderId="17" xfId="0" applyBorder="1" applyAlignment="1">
      <alignment horizontal="center" vertical="top" wrapText="1"/>
    </xf>
    <xf numFmtId="0" fontId="0" fillId="4" borderId="1" xfId="0" applyFill="1" applyBorder="1" applyAlignment="1">
      <alignment horizontal="left"/>
    </xf>
    <xf numFmtId="0" fontId="0" fillId="0" borderId="0" xfId="0" quotePrefix="1" applyAlignment="1">
      <alignment horizontal="left" vertical="center" indent="1"/>
    </xf>
    <xf numFmtId="0" fontId="0" fillId="0" borderId="17" xfId="0" applyBorder="1" applyAlignment="1">
      <alignment vertical="top" wrapText="1"/>
    </xf>
    <xf numFmtId="0" fontId="0" fillId="0" borderId="3" xfId="0" applyBorder="1" applyAlignment="1">
      <alignment vertical="top" wrapText="1"/>
    </xf>
    <xf numFmtId="0" fontId="5" fillId="0" borderId="0" xfId="0" applyFont="1" applyAlignment="1">
      <alignment vertical="top"/>
    </xf>
    <xf numFmtId="0" fontId="0" fillId="3" borderId="3" xfId="0" applyFill="1" applyBorder="1" applyAlignment="1">
      <alignment vertical="top"/>
    </xf>
    <xf numFmtId="0" fontId="0" fillId="3" borderId="3" xfId="0" applyFill="1" applyBorder="1" applyAlignment="1">
      <alignment vertical="top" wrapText="1"/>
    </xf>
    <xf numFmtId="0" fontId="7" fillId="5" borderId="18" xfId="0" applyFont="1" applyFill="1" applyBorder="1" applyAlignment="1">
      <alignment vertical="top" wrapText="1"/>
    </xf>
    <xf numFmtId="0" fontId="9" fillId="0" borderId="0" xfId="1" applyFont="1"/>
    <xf numFmtId="0" fontId="0" fillId="0" borderId="0" xfId="0" applyAlignment="1">
      <alignment horizontal="left" vertical="top" wrapText="1"/>
    </xf>
    <xf numFmtId="0" fontId="10" fillId="3" borderId="3" xfId="0" applyFont="1" applyFill="1" applyBorder="1" applyAlignment="1">
      <alignment vertical="top" wrapText="1"/>
    </xf>
    <xf numFmtId="0" fontId="10" fillId="3" borderId="1" xfId="0" quotePrefix="1" applyFont="1" applyFill="1" applyBorder="1" applyAlignment="1">
      <alignment vertical="top" wrapText="1"/>
    </xf>
    <xf numFmtId="0" fontId="10" fillId="3" borderId="1" xfId="0" applyFont="1" applyFill="1" applyBorder="1" applyAlignment="1">
      <alignment vertical="top" wrapText="1"/>
    </xf>
    <xf numFmtId="0" fontId="0" fillId="0" borderId="0" xfId="0" applyAlignment="1">
      <alignment vertical="top"/>
      <extLst>
        <ext xmlns:xfpb="http://schemas.microsoft.com/office/spreadsheetml/2022/featurepropertybag" uri="{C7286773-470A-42A8-94C5-96B5CB345126}">
          <xfpb:xfComplement i="0"/>
        </ext>
      </extLst>
    </xf>
    <xf numFmtId="0" fontId="0" fillId="0" borderId="0" xfId="0" applyAlignment="1">
      <alignment horizontal="left" vertical="top" indent="3"/>
    </xf>
    <xf numFmtId="0" fontId="6" fillId="0" borderId="0" xfId="0" applyFont="1" applyAlignment="1">
      <alignment horizontal="left" vertical="top" wrapText="1"/>
    </xf>
    <xf numFmtId="0" fontId="0" fillId="0" borderId="0" xfId="0" applyAlignment="1">
      <alignment vertical="center"/>
      <extLst>
        <ext xmlns:xfpb="http://schemas.microsoft.com/office/spreadsheetml/2022/featurepropertybag" uri="{C7286773-470A-42A8-94C5-96B5CB345126}">
          <xfpb:xfComplement i="0"/>
        </ext>
      </extLst>
    </xf>
    <xf numFmtId="0" fontId="12" fillId="0" borderId="0" xfId="0" applyFont="1" applyAlignment="1">
      <alignment horizontal="center"/>
    </xf>
    <xf numFmtId="0" fontId="0" fillId="0" borderId="0" xfId="0" applyAlignment="1">
      <alignment horizontal="center"/>
    </xf>
    <xf numFmtId="0" fontId="13" fillId="0" borderId="0" xfId="0" applyFont="1" applyAlignment="1">
      <alignment horizontal="center"/>
    </xf>
    <xf numFmtId="0" fontId="13" fillId="0" borderId="0" xfId="0" applyFont="1"/>
    <xf numFmtId="0" fontId="14" fillId="0" borderId="0" xfId="0" applyFont="1" applyAlignment="1">
      <alignment vertical="top"/>
    </xf>
    <xf numFmtId="0" fontId="0" fillId="0" borderId="0" xfId="0" applyAlignment="1">
      <alignment horizontal="center" wrapText="1"/>
    </xf>
    <xf numFmtId="0" fontId="0" fillId="6" borderId="0" xfId="0" applyFill="1"/>
    <xf numFmtId="0" fontId="13" fillId="6" borderId="0" xfId="0" applyFont="1" applyFill="1" applyAlignment="1">
      <alignment horizontal="center"/>
    </xf>
    <xf numFmtId="0" fontId="0" fillId="6" borderId="0" xfId="0" applyFill="1" applyAlignment="1">
      <alignment horizontal="center"/>
    </xf>
    <xf numFmtId="0" fontId="0" fillId="0" borderId="3" xfId="0" applyBorder="1" applyAlignment="1">
      <alignment horizontal="center" vertical="top" wrapText="1"/>
    </xf>
    <xf numFmtId="0" fontId="0" fillId="3" borderId="0" xfId="0" applyFill="1" applyAlignment="1">
      <alignment vertical="top"/>
    </xf>
    <xf numFmtId="0" fontId="0" fillId="3" borderId="0" xfId="0" applyFill="1" applyAlignment="1">
      <alignment vertical="top" wrapText="1"/>
    </xf>
    <xf numFmtId="0" fontId="10" fillId="3" borderId="0" xfId="0" quotePrefix="1" applyFont="1" applyFill="1" applyAlignment="1">
      <alignment vertical="top" wrapText="1"/>
    </xf>
    <xf numFmtId="0" fontId="0" fillId="0" borderId="0" xfId="0" quotePrefix="1" applyAlignment="1">
      <alignment vertical="top"/>
    </xf>
    <xf numFmtId="0" fontId="7" fillId="5" borderId="19" xfId="0" applyFont="1" applyFill="1" applyBorder="1" applyAlignment="1">
      <alignment vertical="top" wrapText="1"/>
    </xf>
    <xf numFmtId="0" fontId="17" fillId="0" borderId="0" xfId="0" applyFont="1" applyAlignment="1">
      <alignment vertical="top" wrapText="1"/>
    </xf>
    <xf numFmtId="0" fontId="18" fillId="7" borderId="0" xfId="0" applyFont="1" applyFill="1" applyAlignment="1">
      <alignment horizontal="center" vertical="center" wrapText="1"/>
    </xf>
    <xf numFmtId="0" fontId="17" fillId="9" borderId="0" xfId="0" applyFont="1" applyFill="1" applyAlignment="1">
      <alignment vertical="top" wrapText="1"/>
    </xf>
    <xf numFmtId="164" fontId="17" fillId="9" borderId="0" xfId="0" applyNumberFormat="1" applyFont="1" applyFill="1" applyAlignment="1">
      <alignment vertical="top" wrapText="1"/>
    </xf>
    <xf numFmtId="9" fontId="17" fillId="9" borderId="0" xfId="0" applyNumberFormat="1" applyFont="1" applyFill="1" applyAlignment="1">
      <alignment vertical="top" wrapText="1"/>
    </xf>
    <xf numFmtId="0" fontId="19" fillId="10" borderId="0" xfId="0" applyFont="1" applyFill="1" applyAlignment="1">
      <alignment horizontal="left" vertical="center" wrapText="1"/>
    </xf>
    <xf numFmtId="1" fontId="17" fillId="0" borderId="0" xfId="0" applyNumberFormat="1" applyFont="1" applyAlignment="1">
      <alignment vertical="top" wrapText="1"/>
    </xf>
    <xf numFmtId="9" fontId="17" fillId="0" borderId="0" xfId="0" applyNumberFormat="1" applyFont="1" applyAlignment="1">
      <alignment vertical="top" wrapText="1"/>
    </xf>
    <xf numFmtId="165" fontId="17" fillId="0" borderId="0" xfId="0" applyNumberFormat="1" applyFont="1" applyAlignment="1">
      <alignment vertical="top" wrapText="1"/>
    </xf>
    <xf numFmtId="0" fontId="20" fillId="11" borderId="0" xfId="0" applyFont="1" applyFill="1" applyAlignment="1">
      <alignment vertical="top" wrapText="1"/>
    </xf>
    <xf numFmtId="1" fontId="20" fillId="11" borderId="0" xfId="0" applyNumberFormat="1" applyFont="1" applyFill="1" applyAlignment="1">
      <alignment vertical="top" wrapText="1"/>
    </xf>
    <xf numFmtId="9" fontId="20" fillId="11" borderId="0" xfId="0" applyNumberFormat="1" applyFont="1" applyFill="1" applyAlignment="1">
      <alignment vertical="top" wrapText="1"/>
    </xf>
    <xf numFmtId="165" fontId="20" fillId="11" borderId="0" xfId="0" applyNumberFormat="1" applyFont="1" applyFill="1" applyAlignment="1">
      <alignment vertical="top" wrapText="1"/>
    </xf>
    <xf numFmtId="0" fontId="17" fillId="12" borderId="0" xfId="0" applyFont="1" applyFill="1" applyAlignment="1">
      <alignment vertical="top" wrapText="1"/>
    </xf>
    <xf numFmtId="9" fontId="17" fillId="12" borderId="0" xfId="0" applyNumberFormat="1" applyFont="1" applyFill="1" applyAlignment="1">
      <alignment vertical="top" wrapText="1"/>
    </xf>
    <xf numFmtId="1" fontId="17" fillId="12" borderId="0" xfId="0" applyNumberFormat="1" applyFont="1" applyFill="1" applyAlignment="1">
      <alignment vertical="top" wrapText="1"/>
    </xf>
    <xf numFmtId="15" fontId="17" fillId="0" borderId="0" xfId="0" applyNumberFormat="1" applyFont="1" applyAlignment="1">
      <alignment vertical="top" wrapText="1"/>
    </xf>
    <xf numFmtId="0" fontId="19" fillId="13" borderId="0" xfId="0" applyFont="1" applyFill="1" applyAlignment="1">
      <alignment horizontal="center" vertical="center" wrapText="1"/>
    </xf>
    <xf numFmtId="9" fontId="0" fillId="0" borderId="0" xfId="0" applyNumberFormat="1" applyAlignment="1">
      <alignment wrapText="1"/>
    </xf>
    <xf numFmtId="0" fontId="23" fillId="16" borderId="0" xfId="0" applyFont="1" applyFill="1" applyAlignment="1">
      <alignment horizontal="center" vertical="center" wrapText="1"/>
    </xf>
    <xf numFmtId="9" fontId="23" fillId="16" borderId="0" xfId="0" applyNumberFormat="1" applyFont="1" applyFill="1" applyAlignment="1">
      <alignment horizontal="center" vertical="center" wrapText="1"/>
    </xf>
    <xf numFmtId="0" fontId="27" fillId="0" borderId="0" xfId="0" applyFont="1" applyAlignment="1">
      <alignment vertical="center" wrapText="1"/>
    </xf>
    <xf numFmtId="0" fontId="32" fillId="13" borderId="0" xfId="0" applyFont="1" applyFill="1" applyAlignment="1">
      <alignment horizontal="center" vertical="center" wrapText="1"/>
    </xf>
    <xf numFmtId="0" fontId="31" fillId="0" borderId="0" xfId="0" applyFont="1" applyAlignment="1">
      <alignment vertical="center" wrapText="1"/>
    </xf>
    <xf numFmtId="9" fontId="31" fillId="0" borderId="0" xfId="0" applyNumberFormat="1" applyFont="1" applyAlignment="1">
      <alignment vertical="center" wrapText="1"/>
    </xf>
    <xf numFmtId="0" fontId="8" fillId="0" borderId="0" xfId="1" applyAlignment="1">
      <alignment wrapText="1"/>
    </xf>
    <xf numFmtId="0" fontId="33" fillId="21" borderId="0" xfId="0" applyFont="1" applyFill="1" applyAlignment="1">
      <alignment horizontal="center" vertical="center" wrapText="1"/>
    </xf>
    <xf numFmtId="0" fontId="33" fillId="20" borderId="0" xfId="0" applyFont="1" applyFill="1" applyAlignment="1">
      <alignment horizontal="center" vertical="center" wrapText="1"/>
    </xf>
    <xf numFmtId="0" fontId="33" fillId="24" borderId="0" xfId="0" applyFont="1" applyFill="1" applyAlignment="1">
      <alignment horizontal="center" vertical="center" wrapText="1"/>
    </xf>
    <xf numFmtId="0" fontId="33" fillId="0" borderId="0" xfId="0" applyFont="1" applyAlignment="1">
      <alignment horizontal="center" vertical="center" wrapText="1"/>
    </xf>
    <xf numFmtId="0" fontId="33" fillId="22" borderId="0" xfId="0" applyFont="1" applyFill="1" applyAlignment="1">
      <alignment horizontal="center" vertical="center" wrapText="1"/>
    </xf>
    <xf numFmtId="0" fontId="48" fillId="23" borderId="0" xfId="0" applyFont="1" applyFill="1" applyAlignment="1">
      <alignment horizontal="center" vertical="center" wrapText="1"/>
    </xf>
    <xf numFmtId="0" fontId="49" fillId="23" borderId="0" xfId="0" applyFont="1" applyFill="1" applyAlignment="1">
      <alignment horizontal="left" vertical="top" wrapText="1"/>
    </xf>
    <xf numFmtId="0" fontId="33" fillId="23" borderId="0" xfId="0" applyFont="1" applyFill="1" applyAlignment="1">
      <alignment horizontal="center" vertical="center" wrapText="1"/>
    </xf>
    <xf numFmtId="164" fontId="51" fillId="23" borderId="0" xfId="0" applyNumberFormat="1" applyFont="1" applyFill="1" applyAlignment="1">
      <alignment horizontal="left" vertical="center" wrapText="1"/>
    </xf>
    <xf numFmtId="0" fontId="51" fillId="23" borderId="0" xfId="0" applyFont="1" applyFill="1" applyAlignment="1">
      <alignment horizontal="left" vertical="center" wrapText="1"/>
    </xf>
    <xf numFmtId="0" fontId="0" fillId="0" borderId="0" xfId="0" applyAlignment="1">
      <alignment vertical="center"/>
    </xf>
    <xf numFmtId="0" fontId="0" fillId="25" borderId="0" xfId="0" applyFill="1"/>
    <xf numFmtId="0" fontId="0" fillId="26" borderId="0" xfId="0" applyFill="1"/>
    <xf numFmtId="0" fontId="0" fillId="27" borderId="0" xfId="0" applyFill="1"/>
    <xf numFmtId="0" fontId="0" fillId="28" borderId="0" xfId="0" applyFill="1"/>
    <xf numFmtId="0" fontId="0" fillId="29" borderId="0" xfId="0" applyFill="1"/>
    <xf numFmtId="0" fontId="60" fillId="0" borderId="0" xfId="0" applyFont="1" applyAlignment="1">
      <alignment vertical="top" wrapText="1"/>
    </xf>
    <xf numFmtId="1" fontId="62" fillId="19" borderId="0" xfId="0" applyNumberFormat="1" applyFont="1" applyFill="1" applyAlignment="1">
      <alignment horizontal="center" vertical="center" wrapText="1"/>
    </xf>
    <xf numFmtId="0" fontId="61" fillId="0" borderId="0" xfId="0" applyFont="1" applyAlignment="1">
      <alignment vertical="center" wrapText="1"/>
    </xf>
    <xf numFmtId="9" fontId="62" fillId="19" borderId="0" xfId="0" applyNumberFormat="1" applyFont="1" applyFill="1" applyAlignment="1">
      <alignment horizontal="center" vertical="center" wrapText="1"/>
    </xf>
    <xf numFmtId="0" fontId="0" fillId="31" borderId="0" xfId="0" applyFill="1"/>
    <xf numFmtId="0" fontId="0" fillId="30" borderId="0" xfId="0" applyFill="1"/>
    <xf numFmtId="0" fontId="0" fillId="32" borderId="0" xfId="0" applyFill="1"/>
    <xf numFmtId="0" fontId="4" fillId="0" borderId="0" xfId="0" applyFont="1" applyAlignment="1">
      <alignment horizontal="left" vertical="center" indent="1"/>
    </xf>
    <xf numFmtId="0" fontId="66" fillId="0" borderId="0" xfId="0" applyFont="1"/>
    <xf numFmtId="0" fontId="10" fillId="0" borderId="0" xfId="0" applyFont="1" applyAlignment="1">
      <alignment horizontal="right"/>
      <extLst>
        <ext xmlns:xfpb="http://schemas.microsoft.com/office/spreadsheetml/2022/featurepropertybag" uri="{C7286773-470A-42A8-94C5-96B5CB345126}">
          <xfpb:xfComplement i="0"/>
        </ext>
      </extLst>
    </xf>
    <xf numFmtId="0" fontId="69" fillId="34" borderId="22" xfId="0" applyFont="1" applyFill="1" applyBorder="1" applyAlignment="1">
      <alignment horizontal="left" vertical="center"/>
    </xf>
    <xf numFmtId="0" fontId="69" fillId="35" borderId="22" xfId="0" applyFont="1" applyFill="1" applyBorder="1" applyAlignment="1">
      <alignment horizontal="left" vertical="center"/>
    </xf>
    <xf numFmtId="0" fontId="69" fillId="0" borderId="22" xfId="0" applyFont="1" applyBorder="1" applyAlignment="1">
      <alignment horizontal="left" vertical="center"/>
    </xf>
    <xf numFmtId="0" fontId="0" fillId="0" borderId="10" xfId="0" applyBorder="1" applyAlignment="1">
      <alignment vertical="top" wrapText="1"/>
    </xf>
    <xf numFmtId="0" fontId="74" fillId="13" borderId="25" xfId="0" applyFont="1" applyFill="1" applyBorder="1" applyAlignment="1">
      <alignment horizontal="center" vertical="center" wrapText="1"/>
    </xf>
    <xf numFmtId="0" fontId="74" fillId="13" borderId="26" xfId="0" applyFont="1" applyFill="1" applyBorder="1" applyAlignment="1">
      <alignment horizontal="center" vertical="center" wrapText="1"/>
    </xf>
    <xf numFmtId="0" fontId="74" fillId="13" borderId="27" xfId="0" applyFont="1" applyFill="1" applyBorder="1" applyAlignment="1">
      <alignment horizontal="center" vertical="center" wrapText="1"/>
    </xf>
    <xf numFmtId="0" fontId="75" fillId="0" borderId="28" xfId="0" applyFont="1" applyBorder="1" applyAlignment="1">
      <alignment horizontal="center" vertical="top" wrapText="1"/>
    </xf>
    <xf numFmtId="0" fontId="76" fillId="0" borderId="29" xfId="0" applyFont="1" applyBorder="1" applyAlignment="1">
      <alignment vertical="top" wrapText="1"/>
    </xf>
    <xf numFmtId="0" fontId="75" fillId="0" borderId="30" xfId="0" applyFont="1" applyBorder="1" applyAlignment="1">
      <alignment vertical="top" wrapText="1"/>
    </xf>
    <xf numFmtId="0" fontId="75" fillId="38" borderId="31" xfId="0" applyFont="1" applyFill="1" applyBorder="1" applyAlignment="1">
      <alignment horizontal="center" vertical="top" wrapText="1"/>
    </xf>
    <xf numFmtId="0" fontId="76" fillId="38" borderId="0" xfId="0" applyFont="1" applyFill="1" applyAlignment="1">
      <alignment vertical="top" wrapText="1"/>
    </xf>
    <xf numFmtId="0" fontId="75" fillId="38" borderId="32" xfId="0" applyFont="1" applyFill="1" applyBorder="1" applyAlignment="1">
      <alignment vertical="top" wrapText="1"/>
    </xf>
    <xf numFmtId="0" fontId="75" fillId="0" borderId="31" xfId="0" applyFont="1" applyBorder="1" applyAlignment="1">
      <alignment horizontal="center" vertical="top" wrapText="1"/>
    </xf>
    <xf numFmtId="0" fontId="76" fillId="0" borderId="0" xfId="0" applyFont="1" applyAlignment="1">
      <alignment vertical="top" wrapText="1"/>
    </xf>
    <xf numFmtId="0" fontId="75" fillId="0" borderId="32" xfId="0" applyFont="1" applyBorder="1" applyAlignment="1">
      <alignment vertical="top" wrapText="1"/>
    </xf>
    <xf numFmtId="0" fontId="76" fillId="38" borderId="33" xfId="0" applyFont="1" applyFill="1" applyBorder="1" applyAlignment="1">
      <alignment vertical="top" wrapText="1"/>
    </xf>
    <xf numFmtId="0" fontId="75" fillId="38" borderId="34" xfId="0" applyFont="1" applyFill="1" applyBorder="1" applyAlignment="1">
      <alignment vertical="top" wrapText="1"/>
    </xf>
    <xf numFmtId="0" fontId="7" fillId="0" borderId="0" xfId="0" applyFont="1" applyAlignment="1">
      <alignment wrapText="1"/>
    </xf>
    <xf numFmtId="0" fontId="10" fillId="0" borderId="0" xfId="1" applyFont="1" applyAlignment="1">
      <alignment horizontal="left" vertical="center" indent="3"/>
    </xf>
    <xf numFmtId="0" fontId="8" fillId="0" borderId="0" xfId="1"/>
    <xf numFmtId="0" fontId="77" fillId="0" borderId="0" xfId="1" applyFont="1" applyAlignment="1">
      <alignment vertical="center" wrapText="1"/>
    </xf>
    <xf numFmtId="0" fontId="77" fillId="0" borderId="0" xfId="1" applyFont="1"/>
    <xf numFmtId="0" fontId="77" fillId="0" borderId="0" xfId="0" applyFont="1"/>
    <xf numFmtId="0" fontId="7" fillId="0" borderId="0" xfId="0" applyFont="1" applyAlignment="1">
      <alignment vertical="top" wrapText="1"/>
    </xf>
    <xf numFmtId="0" fontId="37" fillId="0" borderId="0" xfId="0" applyFont="1" applyAlignment="1">
      <alignment horizontal="left" vertical="center" wrapText="1"/>
    </xf>
    <xf numFmtId="0" fontId="34" fillId="0" borderId="0" xfId="0" applyFont="1" applyAlignment="1">
      <alignment horizontal="center" vertical="center" wrapText="1"/>
    </xf>
    <xf numFmtId="0" fontId="58" fillId="20" borderId="0" xfId="0" applyFont="1" applyFill="1" applyAlignment="1">
      <alignment horizontal="center" vertical="center" wrapText="1"/>
    </xf>
    <xf numFmtId="0" fontId="50" fillId="23" borderId="0" xfId="0" applyFont="1" applyFill="1" applyAlignment="1">
      <alignment horizontal="left" vertical="center" wrapText="1"/>
    </xf>
    <xf numFmtId="0" fontId="59" fillId="20" borderId="0" xfId="0" applyFont="1" applyFill="1" applyAlignment="1">
      <alignment horizontal="center" vertical="center" wrapText="1"/>
    </xf>
    <xf numFmtId="0" fontId="33" fillId="20" borderId="0" xfId="0" applyFont="1" applyFill="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left" vertical="center" wrapText="1"/>
    </xf>
    <xf numFmtId="0" fontId="56" fillId="22" borderId="0" xfId="0" applyFont="1" applyFill="1" applyAlignment="1">
      <alignment horizontal="center" vertical="center" wrapText="1"/>
    </xf>
    <xf numFmtId="0" fontId="46" fillId="23" borderId="0" xfId="0" applyFont="1" applyFill="1" applyAlignment="1">
      <alignment horizontal="center" vertical="center" wrapText="1"/>
    </xf>
    <xf numFmtId="0" fontId="50" fillId="23" borderId="0" xfId="0" applyFont="1" applyFill="1" applyAlignment="1">
      <alignment horizontal="left" vertical="top" wrapText="1"/>
    </xf>
    <xf numFmtId="0" fontId="47" fillId="23" borderId="0" xfId="0" applyFont="1" applyFill="1" applyAlignment="1">
      <alignment horizontal="center" vertical="center" wrapText="1"/>
    </xf>
    <xf numFmtId="0" fontId="52" fillId="22" borderId="0" xfId="0" applyFont="1" applyFill="1" applyAlignment="1">
      <alignment horizontal="center" vertical="center" wrapText="1"/>
    </xf>
    <xf numFmtId="0" fontId="38" fillId="22" borderId="0" xfId="0" applyFont="1" applyFill="1" applyAlignment="1">
      <alignment horizontal="center" vertical="center" wrapText="1"/>
    </xf>
    <xf numFmtId="0" fontId="40" fillId="22" borderId="0" xfId="0" applyFont="1" applyFill="1" applyAlignment="1">
      <alignment horizontal="center" vertical="center" wrapText="1"/>
    </xf>
    <xf numFmtId="0" fontId="41" fillId="22" borderId="0" xfId="0" applyFont="1" applyFill="1" applyAlignment="1">
      <alignment horizontal="center" vertical="center" wrapText="1"/>
    </xf>
    <xf numFmtId="0" fontId="55" fillId="22" borderId="0" xfId="0" applyFont="1" applyFill="1" applyAlignment="1">
      <alignment horizontal="center" vertical="center" wrapText="1"/>
    </xf>
    <xf numFmtId="0" fontId="54" fillId="24" borderId="0" xfId="0" applyFont="1" applyFill="1" applyAlignment="1">
      <alignment horizontal="center" vertical="center" wrapText="1"/>
    </xf>
    <xf numFmtId="0" fontId="26" fillId="24" borderId="0" xfId="0" applyFont="1" applyFill="1" applyAlignment="1">
      <alignment horizontal="center" vertical="center" wrapText="1"/>
    </xf>
    <xf numFmtId="0" fontId="42" fillId="23" borderId="0" xfId="0" applyFont="1" applyFill="1" applyAlignment="1">
      <alignment horizontal="left" vertical="center" wrapText="1"/>
    </xf>
    <xf numFmtId="0" fontId="45" fillId="23" borderId="0" xfId="0" applyFont="1" applyFill="1" applyAlignment="1">
      <alignment horizontal="left" vertical="center" wrapText="1"/>
    </xf>
    <xf numFmtId="0" fontId="51" fillId="23" borderId="0" xfId="0" applyFont="1" applyFill="1" applyAlignment="1">
      <alignment horizontal="left" vertical="top" wrapText="1"/>
    </xf>
    <xf numFmtId="0" fontId="49" fillId="23" borderId="0" xfId="0" applyFont="1" applyFill="1" applyAlignment="1">
      <alignment horizontal="left" vertical="top" wrapText="1"/>
    </xf>
    <xf numFmtId="0" fontId="57" fillId="0" borderId="0" xfId="0" applyFont="1" applyAlignment="1">
      <alignment wrapText="1"/>
    </xf>
    <xf numFmtId="0" fontId="39" fillId="23" borderId="0" xfId="0" applyFont="1" applyFill="1" applyAlignment="1">
      <alignment horizontal="left" vertical="center" wrapText="1"/>
    </xf>
    <xf numFmtId="0" fontId="0" fillId="0" borderId="0" xfId="0" applyAlignment="1">
      <alignment vertical="center" wrapText="1"/>
    </xf>
    <xf numFmtId="0" fontId="43" fillId="22" borderId="0" xfId="0" applyFont="1" applyFill="1" applyAlignment="1">
      <alignment horizontal="center" vertical="center" wrapText="1"/>
    </xf>
    <xf numFmtId="0" fontId="44" fillId="22" borderId="0" xfId="0" applyFont="1" applyFill="1" applyAlignment="1">
      <alignment horizontal="center" vertical="center" wrapText="1"/>
    </xf>
    <xf numFmtId="0" fontId="63" fillId="0" borderId="0" xfId="0" applyFont="1" applyAlignment="1">
      <alignment vertical="top" wrapText="1"/>
    </xf>
    <xf numFmtId="0" fontId="2" fillId="0" borderId="0" xfId="0" applyFont="1" applyAlignment="1">
      <alignment vertical="top" wrapText="1"/>
    </xf>
    <xf numFmtId="0" fontId="0" fillId="0" borderId="0" xfId="0" applyAlignment="1">
      <alignment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14" xfId="0" applyFont="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6" fillId="0" borderId="10" xfId="0" applyFont="1" applyBorder="1" applyAlignment="1">
      <alignment horizontal="left" vertical="center" wrapText="1" indent="1"/>
    </xf>
    <xf numFmtId="0" fontId="6" fillId="0" borderId="11" xfId="0" applyFont="1" applyBorder="1" applyAlignment="1">
      <alignment horizontal="left" vertical="center" wrapText="1" indent="1"/>
    </xf>
    <xf numFmtId="0" fontId="6" fillId="0" borderId="12" xfId="0" applyFont="1" applyBorder="1" applyAlignment="1">
      <alignment horizontal="left" vertical="center" wrapText="1" indent="1"/>
    </xf>
    <xf numFmtId="0" fontId="0" fillId="4" borderId="10" xfId="0" applyFill="1" applyBorder="1"/>
    <xf numFmtId="0" fontId="0" fillId="4" borderId="11" xfId="0" applyFill="1" applyBorder="1"/>
    <xf numFmtId="0" fontId="0" fillId="4" borderId="12" xfId="0" applyFill="1" applyBorder="1"/>
    <xf numFmtId="14" fontId="0" fillId="4" borderId="10" xfId="0" applyNumberFormat="1" applyFill="1" applyBorder="1" applyAlignment="1">
      <alignment horizontal="left"/>
    </xf>
    <xf numFmtId="0" fontId="0" fillId="4" borderId="11" xfId="0" applyFill="1" applyBorder="1" applyAlignment="1">
      <alignment horizontal="left"/>
    </xf>
    <xf numFmtId="0" fontId="0" fillId="4" borderId="12" xfId="0" applyFill="1" applyBorder="1" applyAlignment="1">
      <alignment horizontal="left"/>
    </xf>
    <xf numFmtId="0" fontId="64" fillId="0" borderId="0" xfId="0" applyFont="1" applyAlignment="1">
      <alignment horizontal="left" vertical="top" wrapText="1" indent="3"/>
    </xf>
    <xf numFmtId="0" fontId="0" fillId="0" borderId="0" xfId="0" applyAlignment="1">
      <alignment horizontal="left" vertical="top" wrapText="1" indent="3"/>
    </xf>
    <xf numFmtId="0" fontId="0" fillId="0" borderId="0" xfId="0"/>
    <xf numFmtId="0" fontId="64" fillId="0" borderId="0" xfId="0" applyFont="1" applyAlignment="1">
      <alignment horizontal="left" vertical="center" wrapText="1" indent="3"/>
    </xf>
    <xf numFmtId="0" fontId="64" fillId="0" borderId="0" xfId="0" applyFont="1" applyAlignment="1">
      <alignment horizontal="left" wrapText="1" indent="3"/>
    </xf>
    <xf numFmtId="0" fontId="6" fillId="0" borderId="20" xfId="0" applyFont="1" applyBorder="1" applyAlignment="1">
      <alignment horizontal="left" vertical="top" wrapText="1"/>
    </xf>
    <xf numFmtId="0" fontId="6" fillId="0" borderId="0" xfId="0" applyFont="1" applyAlignment="1">
      <alignment horizontal="left" vertical="top" wrapText="1"/>
    </xf>
    <xf numFmtId="0" fontId="6" fillId="0" borderId="21" xfId="0"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63" fillId="0" borderId="0" xfId="0" applyFont="1" applyAlignment="1">
      <alignment horizontal="left" vertical="top" wrapText="1"/>
    </xf>
    <xf numFmtId="0" fontId="0" fillId="0" borderId="0" xfId="0" applyAlignment="1">
      <alignment horizontal="left" vertical="top" wrapText="1"/>
    </xf>
    <xf numFmtId="0" fontId="1" fillId="0" borderId="0" xfId="0" applyFont="1" applyAlignment="1">
      <alignment vertical="center" wrapText="1"/>
    </xf>
    <xf numFmtId="0" fontId="24" fillId="13" borderId="0" xfId="0" applyFont="1" applyFill="1" applyAlignment="1">
      <alignment horizontal="center" vertical="center" wrapText="1"/>
    </xf>
    <xf numFmtId="0" fontId="25" fillId="16" borderId="0" xfId="0" applyFont="1" applyFill="1" applyAlignment="1">
      <alignment horizontal="center" vertical="center" wrapText="1"/>
    </xf>
    <xf numFmtId="0" fontId="26" fillId="15" borderId="0" xfId="0" applyFont="1" applyFill="1" applyAlignment="1">
      <alignment horizontal="center" vertical="center" wrapText="1"/>
    </xf>
    <xf numFmtId="0" fontId="27" fillId="17" borderId="0" xfId="0" applyFont="1" applyFill="1" applyAlignment="1">
      <alignment vertical="center" wrapText="1"/>
    </xf>
    <xf numFmtId="0" fontId="30" fillId="9" borderId="0" xfId="0" applyFont="1" applyFill="1" applyAlignment="1">
      <alignment horizontal="center" vertical="center" wrapText="1"/>
    </xf>
    <xf numFmtId="14" fontId="27" fillId="17" borderId="0" xfId="0" applyNumberFormat="1" applyFont="1" applyFill="1" applyAlignment="1">
      <alignment horizontal="left" vertical="center" wrapText="1"/>
    </xf>
    <xf numFmtId="0" fontId="28" fillId="18" borderId="0" xfId="0" applyFont="1" applyFill="1" applyAlignment="1">
      <alignment horizontal="center" vertical="center" wrapText="1"/>
    </xf>
    <xf numFmtId="0" fontId="26" fillId="13" borderId="0" xfId="0" applyFont="1" applyFill="1" applyAlignment="1">
      <alignment horizontal="center" vertical="center" wrapText="1"/>
    </xf>
    <xf numFmtId="1" fontId="29" fillId="14" borderId="0" xfId="0" applyNumberFormat="1" applyFont="1" applyFill="1" applyAlignment="1">
      <alignment horizontal="center" vertical="center" wrapText="1"/>
    </xf>
    <xf numFmtId="0" fontId="29" fillId="14" borderId="0" xfId="0" applyFont="1" applyFill="1" applyAlignment="1">
      <alignment horizontal="center" vertical="center" wrapText="1"/>
    </xf>
    <xf numFmtId="9" fontId="29" fillId="14" borderId="0" xfId="0" applyNumberFormat="1" applyFont="1" applyFill="1" applyAlignment="1">
      <alignment horizontal="center" vertical="center" wrapText="1"/>
    </xf>
    <xf numFmtId="0" fontId="61" fillId="19" borderId="0" xfId="0" applyFont="1" applyFill="1" applyAlignment="1">
      <alignment vertical="center" wrapText="1"/>
    </xf>
    <xf numFmtId="1" fontId="61" fillId="19" borderId="0" xfId="0" applyNumberFormat="1" applyFont="1" applyFill="1" applyAlignment="1">
      <alignment vertical="center" wrapText="1"/>
    </xf>
    <xf numFmtId="0" fontId="27" fillId="20" borderId="0" xfId="0" applyFont="1" applyFill="1" applyAlignment="1">
      <alignment vertical="center" wrapText="1"/>
    </xf>
    <xf numFmtId="9" fontId="61" fillId="19" borderId="0" xfId="0" applyNumberFormat="1" applyFont="1" applyFill="1" applyAlignment="1">
      <alignment vertical="center" wrapText="1"/>
    </xf>
    <xf numFmtId="0" fontId="21" fillId="13" borderId="0" xfId="0" applyFont="1" applyFill="1" applyAlignment="1">
      <alignment horizontal="center" vertical="center"/>
    </xf>
    <xf numFmtId="0" fontId="22" fillId="14" borderId="0" xfId="0" applyFont="1" applyFill="1" applyAlignment="1">
      <alignment wrapText="1"/>
    </xf>
    <xf numFmtId="0" fontId="69" fillId="36" borderId="23" xfId="0" applyFont="1" applyFill="1" applyBorder="1" applyAlignment="1">
      <alignment horizontal="left" vertical="center"/>
    </xf>
    <xf numFmtId="0" fontId="0" fillId="0" borderId="24" xfId="0" applyBorder="1"/>
    <xf numFmtId="0" fontId="67" fillId="33" borderId="0" xfId="0" applyFont="1" applyFill="1" applyAlignment="1">
      <alignment horizontal="center" vertical="center" wrapText="1"/>
    </xf>
    <xf numFmtId="0" fontId="71" fillId="33" borderId="0" xfId="0" applyFont="1" applyFill="1" applyAlignment="1">
      <alignment horizontal="center" vertical="center" wrapText="1"/>
    </xf>
    <xf numFmtId="0" fontId="68" fillId="11" borderId="0" xfId="0" applyFont="1" applyFill="1" applyAlignment="1">
      <alignment horizontal="center"/>
    </xf>
    <xf numFmtId="0" fontId="72" fillId="37" borderId="0" xfId="0" applyFont="1" applyFill="1" applyAlignment="1">
      <alignment horizontal="center" vertical="center"/>
    </xf>
    <xf numFmtId="0" fontId="73" fillId="16" borderId="0" xfId="0" applyFont="1" applyFill="1" applyAlignment="1">
      <alignment horizontal="center" vertical="center"/>
    </xf>
    <xf numFmtId="0" fontId="19" fillId="10" borderId="0" xfId="0" applyFont="1" applyFill="1" applyAlignment="1">
      <alignment horizontal="left" vertical="center" wrapText="1"/>
    </xf>
    <xf numFmtId="0" fontId="15" fillId="7" borderId="0" xfId="0" applyFont="1" applyFill="1" applyAlignment="1">
      <alignment horizontal="center" vertical="center" wrapText="1"/>
    </xf>
    <xf numFmtId="0" fontId="16" fillId="8" borderId="0" xfId="0" applyFont="1" applyFill="1" applyAlignment="1">
      <alignment horizontal="center" vertical="center" wrapText="1"/>
    </xf>
    <xf numFmtId="0" fontId="0" fillId="0" borderId="0" xfId="0" applyAlignment="1">
      <alignment horizontal="left" vertical="center" wrapText="1"/>
    </xf>
    <xf numFmtId="0" fontId="80" fillId="39" borderId="0" xfId="0" applyFont="1" applyFill="1" applyAlignment="1">
      <alignment horizontal="left" vertical="center" wrapText="1"/>
    </xf>
    <xf numFmtId="0" fontId="19" fillId="15" borderId="0" xfId="0" applyFont="1" applyFill="1" applyAlignment="1">
      <alignment horizontal="center" vertical="top" wrapText="1"/>
    </xf>
    <xf numFmtId="164" fontId="0" fillId="0" borderId="0" xfId="0" applyNumberFormat="1" applyAlignment="1">
      <alignment vertical="top" wrapText="1"/>
    </xf>
    <xf numFmtId="1" fontId="0" fillId="0" borderId="0" xfId="0" applyNumberFormat="1" applyAlignment="1">
      <alignment vertical="top" wrapText="1"/>
    </xf>
    <xf numFmtId="164" fontId="0" fillId="0" borderId="0" xfId="0" applyNumberFormat="1" applyAlignment="1">
      <alignment vertical="top"/>
    </xf>
    <xf numFmtId="1" fontId="0" fillId="0" borderId="0" xfId="0" applyNumberFormat="1" applyAlignment="1">
      <alignment vertical="top"/>
    </xf>
    <xf numFmtId="0" fontId="27" fillId="17" borderId="0" xfId="0" applyFont="1" applyFill="1" applyAlignment="1">
      <alignment horizontal="left" vertical="center" wrapText="1"/>
    </xf>
  </cellXfs>
  <cellStyles count="2">
    <cellStyle name="Hyperlink" xfId="1" builtinId="8"/>
    <cellStyle name="Normal" xfId="0" builtinId="0"/>
  </cellStyles>
  <dxfs count="536">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FF0000"/>
      </font>
    </dxf>
    <dxf>
      <font>
        <color theme="9" tint="-0.24994659260841701"/>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theme="9" tint="-0.24994659260841701"/>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theme="9" tint="-0.24994659260841701"/>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theme="9" tint="-0.24994659260841701"/>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theme="9" tint="-0.24994659260841701"/>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theme="9" tint="-0.24994659260841701"/>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font>
        <b/>
        <i val="0"/>
        <color theme="0"/>
      </font>
      <fill>
        <patternFill>
          <bgColor theme="1"/>
        </patternFill>
      </fill>
    </dxf>
    <dxf>
      <font>
        <b/>
        <i val="0"/>
        <color theme="0"/>
      </font>
      <fill>
        <patternFill>
          <bgColor theme="1"/>
        </patternFill>
      </fill>
    </dxf>
    <dxf>
      <font>
        <b/>
        <i val="0"/>
        <color theme="0"/>
      </font>
      <fill>
        <patternFill>
          <bgColor theme="1"/>
        </patternFill>
      </fill>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rgb="FF00B050"/>
      </font>
    </dxf>
    <dxf>
      <font>
        <color rgb="FFFF0000"/>
      </font>
    </dxf>
    <dxf>
      <border>
        <left style="thin">
          <color auto="1"/>
        </left>
        <right style="thin">
          <color auto="1"/>
        </right>
        <top style="thin">
          <color auto="1"/>
        </top>
        <bottom style="thin">
          <color auto="1"/>
        </bottom>
        <vertical/>
        <horizontal/>
      </border>
    </dxf>
    <dxf>
      <font>
        <color theme="1"/>
      </font>
      <fill>
        <patternFill>
          <bgColor theme="5" tint="0.79998168889431442"/>
        </patternFill>
      </fill>
      <border>
        <left style="thin">
          <color auto="1"/>
        </left>
        <right style="thin">
          <color auto="1"/>
        </right>
        <top style="thin">
          <color auto="1"/>
        </top>
        <bottom style="thin">
          <color auto="1"/>
        </bottom>
        <vertical/>
        <horizontal/>
      </border>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theme="9" tint="-0.24994659260841701"/>
        </patternFill>
      </fill>
    </dxf>
    <dxf>
      <font>
        <color rgb="FFFFFF00"/>
      </font>
      <fill>
        <patternFill>
          <bgColor rgb="FFFF0000"/>
        </patternFill>
      </fill>
    </dxf>
    <dxf>
      <font>
        <color theme="9" tint="-0.24994659260841701"/>
      </font>
    </dxf>
    <dxf>
      <font>
        <color rgb="FFFF0000"/>
      </font>
    </dxf>
    <dxf>
      <font>
        <b/>
        <color rgb="FF274E13"/>
      </font>
      <fill>
        <patternFill patternType="solid">
          <bgColor rgb="FFD9EAD3"/>
        </patternFill>
      </fill>
    </dxf>
    <dxf>
      <font>
        <b/>
        <color rgb="FFB45F06"/>
      </font>
      <fill>
        <patternFill patternType="solid">
          <bgColor rgb="FFFCE5CD"/>
        </patternFill>
      </fill>
    </dxf>
    <dxf>
      <font>
        <b/>
        <color rgb="FF990000"/>
      </font>
      <fill>
        <patternFill patternType="solid">
          <bgColor rgb="FFF4CCCC"/>
        </patternFill>
      </fill>
    </dxf>
    <dxf>
      <font>
        <b/>
        <color rgb="FF274E13"/>
      </font>
      <fill>
        <patternFill patternType="solid">
          <bgColor rgb="FFD9EAD3"/>
        </patternFill>
      </fill>
    </dxf>
    <dxf>
      <font>
        <b/>
        <color rgb="FFB45F06"/>
      </font>
      <fill>
        <patternFill patternType="solid">
          <bgColor rgb="FFFCE5CD"/>
        </patternFill>
      </fill>
    </dxf>
    <dxf>
      <font>
        <b/>
        <color rgb="FF990000"/>
      </font>
      <fill>
        <patternFill patternType="solid">
          <bgColor rgb="FFF4CCCC"/>
        </patternFill>
      </fill>
    </dxf>
    <dxf>
      <font>
        <b/>
        <color rgb="FF7F6000"/>
      </font>
      <fill>
        <patternFill>
          <bgColor rgb="FFFFF2CC"/>
        </patternFill>
      </fill>
    </dxf>
    <dxf>
      <font>
        <b/>
        <color rgb="FF990000"/>
      </font>
      <fill>
        <patternFill>
          <bgColor rgb="FFF4CCCC"/>
        </patternFill>
      </fill>
    </dxf>
    <dxf>
      <fill>
        <patternFill>
          <bgColor rgb="FFFFFFE5"/>
        </patternFill>
      </fill>
      <border>
        <left style="thin">
          <color theme="1" tint="0.49995422223578601"/>
        </left>
        <right style="thin">
          <color theme="1" tint="0.49995422223578601"/>
        </right>
        <top style="thin">
          <color theme="1" tint="0.49995422223578601"/>
        </top>
        <bottom style="thin">
          <color theme="1" tint="0.49995422223578601"/>
        </bottom>
      </border>
    </dxf>
    <dxf>
      <fill>
        <patternFill>
          <bgColor theme="9" tint="0.79995117038483843"/>
        </patternFill>
      </fill>
    </dxf>
    <dxf>
      <fill>
        <patternFill>
          <bgColor theme="9" tint="0.79995117038483843"/>
        </patternFill>
      </fill>
    </dxf>
    <dxf>
      <fill>
        <patternFill>
          <bgColor theme="9" tint="0.79995117038483843"/>
        </patternFill>
      </fill>
    </dxf>
    <dxf>
      <fill>
        <patternFill>
          <bgColor theme="9" tint="0.79995117038483843"/>
        </patternFill>
      </fill>
    </dxf>
    <dxf>
      <fill>
        <patternFill>
          <bgColor theme="7" tint="0.79995117038483843"/>
        </patternFill>
      </fill>
    </dxf>
    <dxf>
      <fill>
        <patternFill>
          <bgColor theme="7" tint="0.79995117038483843"/>
        </patternFill>
      </fill>
    </dxf>
    <dxf>
      <fill>
        <patternFill>
          <bgColor theme="7" tint="0.79995117038483843"/>
        </patternFill>
      </fill>
    </dxf>
    <dxf>
      <fill>
        <patternFill>
          <bgColor theme="7" tint="0.79995117038483843"/>
        </patternFill>
      </fill>
    </dxf>
    <dxf>
      <fill>
        <patternFill>
          <bgColor theme="7" tint="0.79995117038483843"/>
        </patternFill>
      </fill>
    </dxf>
    <dxf>
      <fill>
        <patternFill>
          <bgColor theme="7" tint="0.79995117038483843"/>
        </patternFill>
      </fill>
    </dxf>
    <dxf>
      <fill>
        <patternFill>
          <bgColor theme="7" tint="0.79995117038483843"/>
        </patternFill>
      </fill>
    </dxf>
    <dxf>
      <fill>
        <patternFill>
          <bgColor rgb="FFFFFFE5"/>
        </patternFill>
      </fill>
      <border>
        <left style="thin">
          <color theme="1" tint="0.499984740745262"/>
        </left>
        <right style="thin">
          <color theme="1" tint="0.499984740745262"/>
        </right>
        <top style="thin">
          <color theme="1" tint="0.499984740745262"/>
        </top>
        <bottom style="thin">
          <color theme="1" tint="0.499984740745262"/>
        </bottom>
        <vertical/>
        <horizontal/>
      </border>
    </dxf>
    <dxf>
      <font>
        <color theme="0"/>
      </font>
    </dxf>
    <dxf>
      <font>
        <color theme="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ill>
        <patternFill>
          <bgColor theme="5" tint="0.79998168889431442"/>
        </patternFill>
      </fill>
    </dxf>
    <dxf>
      <font>
        <color theme="1" tint="0.499984740745262"/>
      </font>
      <fill>
        <patternFill>
          <bgColor theme="0" tint="-4.9989318521683403E-2"/>
        </patternFill>
      </fill>
    </dxf>
    <dxf>
      <font>
        <color theme="1" tint="0.499984740745262"/>
      </font>
      <fill>
        <patternFill>
          <bgColor theme="0" tint="-4.9989318521683403E-2"/>
        </patternFill>
      </fill>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b/>
        <i val="0"/>
      </font>
    </dxf>
    <dxf>
      <font>
        <color theme="1" tint="0.499984740745262"/>
      </font>
    </dxf>
    <dxf>
      <font>
        <b/>
        <i val="0"/>
        <color rgb="FFFFFF00"/>
      </font>
      <fill>
        <patternFill>
          <bgColor rgb="FFFF0000"/>
        </patternFill>
      </fill>
    </dxf>
    <dxf>
      <font>
        <color theme="1" tint="0.499984740745262"/>
      </font>
    </dxf>
    <dxf>
      <font>
        <b/>
        <i val="0"/>
        <color rgb="FFFFFF00"/>
      </font>
      <fill>
        <patternFill>
          <bgColor rgb="FFFF0000"/>
        </patternFill>
      </fill>
    </dxf>
    <dxf>
      <font>
        <b/>
        <i val="0"/>
      </font>
      <fill>
        <patternFill>
          <bgColor theme="0"/>
        </patternFill>
      </fill>
    </dxf>
    <dxf>
      <fill>
        <patternFill>
          <bgColor theme="9" tint="-0.24994659260841701"/>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alignment horizontal="general" vertical="top" textRotation="0" wrapText="1" indent="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vertical="top" textRotation="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vertical="top" textRotation="0" justifyLastLine="0" shrinkToFit="0" readingOrder="0"/>
    </dxf>
  </dxfs>
  <tableStyles count="0" defaultTableStyle="TableStyleMedium2" defaultPivotStyle="PivotStyleLight16"/>
  <colors>
    <mruColors>
      <color rgb="FF600000"/>
      <color rgb="FF006E3C"/>
      <color rgb="FF024DC2"/>
      <color rgb="FFFD650D"/>
      <color rgb="FF00307D"/>
      <color rgb="FF1F4E78"/>
      <color rgb="FFFFFFE5"/>
      <color rgb="FFF8FBFD"/>
      <color rgb="FFFFF2CC"/>
      <color rgb="FFEA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ctrlProps/ctrlProp1.xml><?xml version="1.0" encoding="utf-8"?>
<formControlPr xmlns="http://schemas.microsoft.com/office/spreadsheetml/2009/9/main" objectType="Radio" checked="Checked" firstButton="1" fmlaLink="'back-data'!$A$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svg"/><Relationship Id="rId18" Type="http://schemas.openxmlformats.org/officeDocument/2006/relationships/hyperlink" Target="#Dashboard!A1"/><Relationship Id="rId3" Type="http://schemas.openxmlformats.org/officeDocument/2006/relationships/image" Target="../media/image3.svg"/><Relationship Id="rId21" Type="http://schemas.openxmlformats.org/officeDocument/2006/relationships/image" Target="../media/image15.png"/><Relationship Id="rId7" Type="http://schemas.openxmlformats.org/officeDocument/2006/relationships/image" Target="../media/image7.svg"/><Relationship Id="rId12" Type="http://schemas.openxmlformats.org/officeDocument/2006/relationships/image" Target="../media/image12.png"/><Relationship Id="rId17" Type="http://schemas.openxmlformats.org/officeDocument/2006/relationships/hyperlink" Target="#Legal!A1"/><Relationship Id="rId2" Type="http://schemas.openxmlformats.org/officeDocument/2006/relationships/image" Target="../media/image2.png"/><Relationship Id="rId16" Type="http://schemas.openxmlformats.org/officeDocument/2006/relationships/hyperlink" Target="#Home!A1"/><Relationship Id="rId20" Type="http://schemas.openxmlformats.org/officeDocument/2006/relationships/hyperlink" Target="#'Abbreviation '!A1"/><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svg"/><Relationship Id="rId5" Type="http://schemas.openxmlformats.org/officeDocument/2006/relationships/image" Target="../media/image5.svg"/><Relationship Id="rId15" Type="http://schemas.microsoft.com/office/2007/relationships/hdphoto" Target="../media/hdphoto1.wdp"/><Relationship Id="rId10" Type="http://schemas.openxmlformats.org/officeDocument/2006/relationships/image" Target="../media/image10.png"/><Relationship Id="rId19" Type="http://schemas.openxmlformats.org/officeDocument/2006/relationships/hyperlink" Target="#Action_Tracker!A1"/><Relationship Id="rId4" Type="http://schemas.openxmlformats.org/officeDocument/2006/relationships/image" Target="../media/image4.png"/><Relationship Id="rId9" Type="http://schemas.openxmlformats.org/officeDocument/2006/relationships/image" Target="../media/image9.sv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hyperlink" Target="#Section_18B___Conduct_and_implement_risk_assessment_at_workplace"/><Relationship Id="rId13" Type="http://schemas.openxmlformats.org/officeDocument/2006/relationships/hyperlink" Target="#Section_15___Maintain_workplace__access_and_egress_in_safe_condition"/><Relationship Id="rId18" Type="http://schemas.openxmlformats.org/officeDocument/2006/relationships/hyperlink" Target="#'clean air'!A1"/><Relationship Id="rId26" Type="http://schemas.openxmlformats.org/officeDocument/2006/relationships/hyperlink" Target="#'ICOP Transport'!A1"/><Relationship Id="rId3" Type="http://schemas.openxmlformats.org/officeDocument/2006/relationships/image" Target="../media/image17.svg"/><Relationship Id="rId21" Type="http://schemas.openxmlformats.org/officeDocument/2006/relationships/hyperlink" Target="#EQA!A1"/><Relationship Id="rId7" Type="http://schemas.openxmlformats.org/officeDocument/2006/relationships/hyperlink" Target="#Regulation_39___Appoint_a_competent_Site_Safety_Supervisor__SSS__to_assist_compliance_with_CDM_Regulations."/><Relationship Id="rId12" Type="http://schemas.openxmlformats.org/officeDocument/2006/relationships/hyperlink" Target="#CF!A1"/><Relationship Id="rId17" Type="http://schemas.openxmlformats.org/officeDocument/2006/relationships/hyperlink" Target="https://osh-isis.com/legal/control_supplies_reg_1974.pdf" TargetMode="External"/><Relationship Id="rId25" Type="http://schemas.openxmlformats.org/officeDocument/2006/relationships/hyperlink" Target="#WSIA!A1"/><Relationship Id="rId2" Type="http://schemas.openxmlformats.org/officeDocument/2006/relationships/image" Target="../media/image16.png"/><Relationship Id="rId16" Type="http://schemas.openxmlformats.org/officeDocument/2006/relationships/hyperlink" Target="#SW!A1"/><Relationship Id="rId20" Type="http://schemas.openxmlformats.org/officeDocument/2006/relationships/hyperlink" Target="#sewage!A1"/><Relationship Id="rId29" Type="http://schemas.openxmlformats.org/officeDocument/2006/relationships/hyperlink" Target="#Main!A1"/><Relationship Id="rId1" Type="http://schemas.openxmlformats.org/officeDocument/2006/relationships/hyperlink" Target="#Section_29A___Appointment_of_OSH_Coordinator_at_workplace"/><Relationship Id="rId6" Type="http://schemas.openxmlformats.org/officeDocument/2006/relationships/hyperlink" Target="#CDM!A1"/><Relationship Id="rId11" Type="http://schemas.openxmlformats.org/officeDocument/2006/relationships/hyperlink" Target="https://dosh.gov.my/en/keselamatan-tapak-bina/kerja-di-tempat-tinggi" TargetMode="External"/><Relationship Id="rId24" Type="http://schemas.openxmlformats.org/officeDocument/2006/relationships/hyperlink" Target="#refrigerant!A1"/><Relationship Id="rId32" Type="http://schemas.openxmlformats.org/officeDocument/2006/relationships/hyperlink" Target="#UBBL!A1"/><Relationship Id="rId5" Type="http://schemas.openxmlformats.org/officeDocument/2006/relationships/hyperlink" Target="#Section_15___Provide_information__instruction__training_and_supervision_to_employees"/><Relationship Id="rId15" Type="http://schemas.openxmlformats.org/officeDocument/2006/relationships/hyperlink" Target="#Pesticides!A1"/><Relationship Id="rId23" Type="http://schemas.openxmlformats.org/officeDocument/2006/relationships/hyperlink" Target="https://www.bomba.gov.my/wp-content/uploads/2021/07/PUA289.pdf" TargetMode="External"/><Relationship Id="rId28" Type="http://schemas.openxmlformats.org/officeDocument/2006/relationships/hyperlink" Target="#MHA!A1"/><Relationship Id="rId10" Type="http://schemas.openxmlformats.org/officeDocument/2006/relationships/hyperlink" Target="#noise!A1"/><Relationship Id="rId19" Type="http://schemas.openxmlformats.org/officeDocument/2006/relationships/hyperlink" Target="#effluent!A1"/><Relationship Id="rId31" Type="http://schemas.openxmlformats.org/officeDocument/2006/relationships/image" Target="../media/image19.svg"/><Relationship Id="rId4" Type="http://schemas.openxmlformats.org/officeDocument/2006/relationships/hyperlink" Target="#Section_17___Ensure_activities_do_not_expose_non_employees_to_safety_and_health_risks"/><Relationship Id="rId9" Type="http://schemas.openxmlformats.org/officeDocument/2006/relationships/hyperlink" Target="#Section_29___Appointment_of_Safety_and_Health_Officer"/><Relationship Id="rId14" Type="http://schemas.openxmlformats.org/officeDocument/2006/relationships/hyperlink" Target="#USECHH!A1"/><Relationship Id="rId22" Type="http://schemas.openxmlformats.org/officeDocument/2006/relationships/hyperlink" Target="#OSHA!A1"/><Relationship Id="rId27" Type="http://schemas.openxmlformats.org/officeDocument/2006/relationships/hyperlink" Target="#'solid waste'!A1"/><Relationship Id="rId30" Type="http://schemas.openxmlformats.org/officeDocument/2006/relationships/image" Target="../media/image18.png"/></Relationships>
</file>

<file path=xl/drawings/_rels/drawing3.xml.rels><?xml version="1.0" encoding="UTF-8" standalone="yes"?>
<Relationships xmlns="http://schemas.openxmlformats.org/package/2006/relationships"><Relationship Id="rId8" Type="http://schemas.openxmlformats.org/officeDocument/2006/relationships/hyperlink" Target="#sewerage!A1"/><Relationship Id="rId13" Type="http://schemas.openxmlformats.org/officeDocument/2006/relationships/hyperlink" Target="#shc!A1"/><Relationship Id="rId18" Type="http://schemas.openxmlformats.org/officeDocument/2006/relationships/hyperlink" Target="#effluent!A1"/><Relationship Id="rId26" Type="http://schemas.openxmlformats.org/officeDocument/2006/relationships/hyperlink" Target="#'pesticides labelling'!A1"/><Relationship Id="rId3" Type="http://schemas.openxmlformats.org/officeDocument/2006/relationships/hyperlink" Target="#OSHA!A1"/><Relationship Id="rId21" Type="http://schemas.openxmlformats.org/officeDocument/2006/relationships/hyperlink" Target="#'solid waste'!A1"/><Relationship Id="rId7" Type="http://schemas.openxmlformats.org/officeDocument/2006/relationships/hyperlink" Target="#WSIA!A1"/><Relationship Id="rId12" Type="http://schemas.openxmlformats.org/officeDocument/2006/relationships/hyperlink" Target="#noise!A1"/><Relationship Id="rId17" Type="http://schemas.openxmlformats.org/officeDocument/2006/relationships/hyperlink" Target="#'clean air'!A1"/><Relationship Id="rId25" Type="http://schemas.openxmlformats.org/officeDocument/2006/relationships/hyperlink" Target="#FC!A1"/><Relationship Id="rId2" Type="http://schemas.openxmlformats.org/officeDocument/2006/relationships/hyperlink" Target="#Main!A1"/><Relationship Id="rId16" Type="http://schemas.openxmlformats.org/officeDocument/2006/relationships/hyperlink" Target="#CLASS!A1"/><Relationship Id="rId20" Type="http://schemas.openxmlformats.org/officeDocument/2006/relationships/hyperlink" Target="#SW!A1"/><Relationship Id="rId29" Type="http://schemas.openxmlformats.org/officeDocument/2006/relationships/hyperlink" Target="#MHA!A1"/><Relationship Id="rId1" Type="http://schemas.openxmlformats.org/officeDocument/2006/relationships/hyperlink" Target="#Home!A1"/><Relationship Id="rId6" Type="http://schemas.openxmlformats.org/officeDocument/2006/relationships/hyperlink" Target="#FSA!A1"/><Relationship Id="rId11" Type="http://schemas.openxmlformats.org/officeDocument/2006/relationships/hyperlink" Target="#USECHH!A1"/><Relationship Id="rId24" Type="http://schemas.openxmlformats.org/officeDocument/2006/relationships/hyperlink" Target="#refrigerant!A1"/><Relationship Id="rId5" Type="http://schemas.openxmlformats.org/officeDocument/2006/relationships/hyperlink" Target="#CIDB!A1"/><Relationship Id="rId15" Type="http://schemas.openxmlformats.org/officeDocument/2006/relationships/hyperlink" Target="#CDM!A1"/><Relationship Id="rId23" Type="http://schemas.openxmlformats.org/officeDocument/2006/relationships/hyperlink" Target="#'Control of Petrol &amp; Diesel'!A1"/><Relationship Id="rId28" Type="http://schemas.openxmlformats.org/officeDocument/2006/relationships/hyperlink" Target="#'sewerage system'!A1"/><Relationship Id="rId10" Type="http://schemas.openxmlformats.org/officeDocument/2006/relationships/hyperlink" Target="#NADOPOD!A1"/><Relationship Id="rId19" Type="http://schemas.openxmlformats.org/officeDocument/2006/relationships/hyperlink" Target="#sewage!A1"/><Relationship Id="rId31" Type="http://schemas.openxmlformats.org/officeDocument/2006/relationships/hyperlink" Target="#UBBL!A1"/><Relationship Id="rId4" Type="http://schemas.openxmlformats.org/officeDocument/2006/relationships/hyperlink" Target="#EQA!A1"/><Relationship Id="rId9" Type="http://schemas.openxmlformats.org/officeDocument/2006/relationships/hyperlink" Target="#Pesticides!A1"/><Relationship Id="rId14" Type="http://schemas.openxmlformats.org/officeDocument/2006/relationships/hyperlink" Target="#CF!A1"/><Relationship Id="rId22" Type="http://schemas.openxmlformats.org/officeDocument/2006/relationships/hyperlink" Target="#'diesel engine'!A1"/><Relationship Id="rId27" Type="http://schemas.openxmlformats.org/officeDocument/2006/relationships/hyperlink" Target="#'ICOP Transport'!A1"/><Relationship Id="rId30" Type="http://schemas.openxmlformats.org/officeDocument/2006/relationships/hyperlink" Target="#Priority_Legal_Areas_for_Management_Review"/></Relationships>
</file>

<file path=xl/drawings/_rels/drawing4.xml.rels><?xml version="1.0" encoding="UTF-8" standalone="yes"?>
<Relationships xmlns="http://schemas.openxmlformats.org/package/2006/relationships"><Relationship Id="rId3" Type="http://schemas.openxmlformats.org/officeDocument/2006/relationships/image" Target="../media/image20.svg"/><Relationship Id="rId2" Type="http://schemas.openxmlformats.org/officeDocument/2006/relationships/image" Target="../media/image18.png"/><Relationship Id="rId1" Type="http://schemas.openxmlformats.org/officeDocument/2006/relationships/hyperlink" Target="#Main!A1"/></Relationships>
</file>

<file path=xl/drawings/_rels/drawing5.xml.rels><?xml version="1.0" encoding="UTF-8" standalone="yes"?>
<Relationships xmlns="http://schemas.openxmlformats.org/package/2006/relationships"><Relationship Id="rId1" Type="http://schemas.openxmlformats.org/officeDocument/2006/relationships/image" Target="../media/image21.png"/></Relationships>
</file>

<file path=xl/drawings/_rels/drawing6.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7.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8.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9.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0.xml.rels><?xml version="1.0" encoding="UTF-8" standalone="yes"?>
<Relationships xmlns="http://schemas.openxmlformats.org/package/2006/relationships"><Relationship Id="rId8" Type="http://schemas.openxmlformats.org/officeDocument/2006/relationships/hyperlink" Target="#sewerage!A1"/><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FC!A1"/><Relationship Id="rId3" Type="http://schemas.openxmlformats.org/officeDocument/2006/relationships/image" Target="../media/image22.png"/><Relationship Id="rId21" Type="http://schemas.openxmlformats.org/officeDocument/2006/relationships/hyperlink" Target="#'diesel engine'!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refrigerant!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hyperlink" Target="#'pesticides labelling'!A1"/><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ICOP Transport'!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sewerage system'!A1"/><Relationship Id="rId10" Type="http://schemas.openxmlformats.org/officeDocument/2006/relationships/hyperlink" Target="#Pesticides!A1"/><Relationship Id="rId19" Type="http://schemas.openxmlformats.org/officeDocument/2006/relationships/hyperlink" Target="#sewage!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CLASS!A1"/><Relationship Id="rId30" Type="http://schemas.openxmlformats.org/officeDocument/2006/relationships/hyperlink" Target="#MHA!A1"/></Relationships>
</file>

<file path=xl/drawings/_rels/drawing11.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2.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3.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4.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5.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6.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7.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8.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19.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0.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1.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2.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3.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4.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5.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6.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7.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8.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29.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30.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CLASS!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FC!A1"/><Relationship Id="rId33" Type="http://schemas.openxmlformats.org/officeDocument/2006/relationships/hyperlink" Target="#MHA!A1"/><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image" Target="../media/image18.png"/><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refrigerant!A1"/><Relationship Id="rId32" Type="http://schemas.openxmlformats.org/officeDocument/2006/relationships/hyperlink" Target="#'sewerage system'!A1"/><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Main!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ICOP Transport'!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pesticides labelling'!A1"/><Relationship Id="rId30" Type="http://schemas.openxmlformats.org/officeDocument/2006/relationships/image" Target="../media/image20.svg"/><Relationship Id="rId8" Type="http://schemas.openxmlformats.org/officeDocument/2006/relationships/hyperlink" Target="#sewerage!A1"/></Relationships>
</file>

<file path=xl/drawings/_rels/drawing31.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FC!A1"/><Relationship Id="rId3" Type="http://schemas.openxmlformats.org/officeDocument/2006/relationships/image" Target="../media/image22.png"/><Relationship Id="rId21" Type="http://schemas.openxmlformats.org/officeDocument/2006/relationships/hyperlink" Target="#'diesel engine'!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refrigerant!A1"/><Relationship Id="rId33" Type="http://schemas.openxmlformats.org/officeDocument/2006/relationships/image" Target="../media/image20.svg"/><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hyperlink" Target="#'pesticides labelling'!A1"/><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ICOP Transport'!A1"/><Relationship Id="rId32" Type="http://schemas.openxmlformats.org/officeDocument/2006/relationships/image" Target="../media/image18.png"/><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sewerage system'!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Main!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CLASS!A1"/><Relationship Id="rId30" Type="http://schemas.openxmlformats.org/officeDocument/2006/relationships/hyperlink" Target="#MHA!A1"/><Relationship Id="rId8" Type="http://schemas.openxmlformats.org/officeDocument/2006/relationships/hyperlink" Target="#sewerage!A1"/></Relationships>
</file>

<file path=xl/drawings/_rels/drawing32.xml.rels><?xml version="1.0" encoding="UTF-8" standalone="yes"?>
<Relationships xmlns="http://schemas.openxmlformats.org/package/2006/relationships"><Relationship Id="rId13" Type="http://schemas.openxmlformats.org/officeDocument/2006/relationships/hyperlink" Target="#Pesticides!A1"/><Relationship Id="rId18" Type="http://schemas.openxmlformats.org/officeDocument/2006/relationships/hyperlink" Target="#CF!A1"/><Relationship Id="rId26" Type="http://schemas.openxmlformats.org/officeDocument/2006/relationships/hyperlink" Target="#'Control of Petrol &amp; Diesel'!A1"/><Relationship Id="rId3" Type="http://schemas.openxmlformats.org/officeDocument/2006/relationships/image" Target="../media/image20.svg"/><Relationship Id="rId21" Type="http://schemas.openxmlformats.org/officeDocument/2006/relationships/hyperlink" Target="#effluent!A1"/><Relationship Id="rId34" Type="http://schemas.openxmlformats.org/officeDocument/2006/relationships/hyperlink" Target="#UBBL!A1"/><Relationship Id="rId7" Type="http://schemas.openxmlformats.org/officeDocument/2006/relationships/hyperlink" Target="#Home!A1"/><Relationship Id="rId12" Type="http://schemas.openxmlformats.org/officeDocument/2006/relationships/hyperlink" Target="#CIDB!A1"/><Relationship Id="rId17" Type="http://schemas.openxmlformats.org/officeDocument/2006/relationships/hyperlink" Target="#shc!A1"/><Relationship Id="rId25" Type="http://schemas.openxmlformats.org/officeDocument/2006/relationships/hyperlink" Target="#'solid waste'!A1"/><Relationship Id="rId33" Type="http://schemas.openxmlformats.org/officeDocument/2006/relationships/hyperlink" Target="#MHA!A1"/><Relationship Id="rId2" Type="http://schemas.openxmlformats.org/officeDocument/2006/relationships/image" Target="../media/image18.png"/><Relationship Id="rId16" Type="http://schemas.openxmlformats.org/officeDocument/2006/relationships/hyperlink" Target="#noise!A1"/><Relationship Id="rId20" Type="http://schemas.openxmlformats.org/officeDocument/2006/relationships/hyperlink" Target="#'clean air'!A1"/><Relationship Id="rId29" Type="http://schemas.openxmlformats.org/officeDocument/2006/relationships/hyperlink" Target="#CLASS!A1"/><Relationship Id="rId1" Type="http://schemas.openxmlformats.org/officeDocument/2006/relationships/hyperlink" Target="#Main!A1"/><Relationship Id="rId6" Type="http://schemas.openxmlformats.org/officeDocument/2006/relationships/hyperlink" Target="#OSHA!A1"/><Relationship Id="rId11" Type="http://schemas.openxmlformats.org/officeDocument/2006/relationships/hyperlink" Target="#FSA!A1"/><Relationship Id="rId24" Type="http://schemas.openxmlformats.org/officeDocument/2006/relationships/hyperlink" Target="#'diesel engine'!A1"/><Relationship Id="rId32" Type="http://schemas.openxmlformats.org/officeDocument/2006/relationships/hyperlink" Target="#'sewerage system'!A1"/><Relationship Id="rId5" Type="http://schemas.openxmlformats.org/officeDocument/2006/relationships/hyperlink" Target="#sewerage!A1"/><Relationship Id="rId15" Type="http://schemas.openxmlformats.org/officeDocument/2006/relationships/hyperlink" Target="#USECHH!A1"/><Relationship Id="rId23" Type="http://schemas.openxmlformats.org/officeDocument/2006/relationships/hyperlink" Target="#SW!A1"/><Relationship Id="rId28" Type="http://schemas.openxmlformats.org/officeDocument/2006/relationships/hyperlink" Target="#FC!A1"/><Relationship Id="rId10" Type="http://schemas.openxmlformats.org/officeDocument/2006/relationships/hyperlink" Target="#EQA!A1"/><Relationship Id="rId19" Type="http://schemas.openxmlformats.org/officeDocument/2006/relationships/hyperlink" Target="#CDM!A1"/><Relationship Id="rId31" Type="http://schemas.openxmlformats.org/officeDocument/2006/relationships/hyperlink" Target="#'ICOP Transport'!A1"/><Relationship Id="rId4" Type="http://schemas.openxmlformats.org/officeDocument/2006/relationships/hyperlink" Target="#WSIA!A1"/><Relationship Id="rId9" Type="http://schemas.openxmlformats.org/officeDocument/2006/relationships/image" Target="../media/image23.svg"/><Relationship Id="rId14" Type="http://schemas.openxmlformats.org/officeDocument/2006/relationships/hyperlink" Target="#NADOPOD!A1"/><Relationship Id="rId22" Type="http://schemas.openxmlformats.org/officeDocument/2006/relationships/hyperlink" Target="#sewage!A1"/><Relationship Id="rId27" Type="http://schemas.openxmlformats.org/officeDocument/2006/relationships/hyperlink" Target="#refrigerant!A1"/><Relationship Id="rId30" Type="http://schemas.openxmlformats.org/officeDocument/2006/relationships/hyperlink" Target="#'pesticides labelling'!A1"/><Relationship Id="rId8" Type="http://schemas.openxmlformats.org/officeDocument/2006/relationships/image" Target="../media/image22.png"/></Relationships>
</file>

<file path=xl/drawings/_rels/drawing33.xml.rels><?xml version="1.0" encoding="UTF-8" standalone="yes"?>
<Relationships xmlns="http://schemas.openxmlformats.org/package/2006/relationships"><Relationship Id="rId13" Type="http://schemas.openxmlformats.org/officeDocument/2006/relationships/hyperlink" Target="#Pesticides!A1"/><Relationship Id="rId18" Type="http://schemas.openxmlformats.org/officeDocument/2006/relationships/hyperlink" Target="#CF!A1"/><Relationship Id="rId26" Type="http://schemas.openxmlformats.org/officeDocument/2006/relationships/hyperlink" Target="#'Control of Petrol &amp; Diesel'!A1"/><Relationship Id="rId3" Type="http://schemas.openxmlformats.org/officeDocument/2006/relationships/image" Target="../media/image20.svg"/><Relationship Id="rId21" Type="http://schemas.openxmlformats.org/officeDocument/2006/relationships/hyperlink" Target="#effluent!A1"/><Relationship Id="rId34" Type="http://schemas.openxmlformats.org/officeDocument/2006/relationships/hyperlink" Target="#UBBL!A1"/><Relationship Id="rId7" Type="http://schemas.openxmlformats.org/officeDocument/2006/relationships/hyperlink" Target="#Home!A1"/><Relationship Id="rId12" Type="http://schemas.openxmlformats.org/officeDocument/2006/relationships/hyperlink" Target="#CIDB!A1"/><Relationship Id="rId17" Type="http://schemas.openxmlformats.org/officeDocument/2006/relationships/hyperlink" Target="#shc!A1"/><Relationship Id="rId25" Type="http://schemas.openxmlformats.org/officeDocument/2006/relationships/hyperlink" Target="#'solid waste'!A1"/><Relationship Id="rId33" Type="http://schemas.openxmlformats.org/officeDocument/2006/relationships/hyperlink" Target="#MHA!A1"/><Relationship Id="rId2" Type="http://schemas.openxmlformats.org/officeDocument/2006/relationships/image" Target="../media/image18.png"/><Relationship Id="rId16" Type="http://schemas.openxmlformats.org/officeDocument/2006/relationships/hyperlink" Target="#noise!A1"/><Relationship Id="rId20" Type="http://schemas.openxmlformats.org/officeDocument/2006/relationships/hyperlink" Target="#'clean air'!A1"/><Relationship Id="rId29" Type="http://schemas.openxmlformats.org/officeDocument/2006/relationships/hyperlink" Target="#CLASS!A1"/><Relationship Id="rId1" Type="http://schemas.openxmlformats.org/officeDocument/2006/relationships/hyperlink" Target="#Main!A1"/><Relationship Id="rId6" Type="http://schemas.openxmlformats.org/officeDocument/2006/relationships/hyperlink" Target="#OSHA!A1"/><Relationship Id="rId11" Type="http://schemas.openxmlformats.org/officeDocument/2006/relationships/hyperlink" Target="#FSA!A1"/><Relationship Id="rId24" Type="http://schemas.openxmlformats.org/officeDocument/2006/relationships/hyperlink" Target="#'diesel engine'!A1"/><Relationship Id="rId32" Type="http://schemas.openxmlformats.org/officeDocument/2006/relationships/hyperlink" Target="#'sewerage system'!A1"/><Relationship Id="rId5" Type="http://schemas.openxmlformats.org/officeDocument/2006/relationships/hyperlink" Target="#sewerage!A1"/><Relationship Id="rId15" Type="http://schemas.openxmlformats.org/officeDocument/2006/relationships/hyperlink" Target="#USECHH!A1"/><Relationship Id="rId23" Type="http://schemas.openxmlformats.org/officeDocument/2006/relationships/hyperlink" Target="#SW!A1"/><Relationship Id="rId28" Type="http://schemas.openxmlformats.org/officeDocument/2006/relationships/hyperlink" Target="#FC!A1"/><Relationship Id="rId10" Type="http://schemas.openxmlformats.org/officeDocument/2006/relationships/hyperlink" Target="#EQA!A1"/><Relationship Id="rId19" Type="http://schemas.openxmlformats.org/officeDocument/2006/relationships/hyperlink" Target="#CDM!A1"/><Relationship Id="rId31" Type="http://schemas.openxmlformats.org/officeDocument/2006/relationships/hyperlink" Target="#'ICOP Transport'!A1"/><Relationship Id="rId4" Type="http://schemas.openxmlformats.org/officeDocument/2006/relationships/hyperlink" Target="#WSIA!A1"/><Relationship Id="rId9" Type="http://schemas.openxmlformats.org/officeDocument/2006/relationships/image" Target="../media/image23.svg"/><Relationship Id="rId14" Type="http://schemas.openxmlformats.org/officeDocument/2006/relationships/hyperlink" Target="#NADOPOD!A1"/><Relationship Id="rId22" Type="http://schemas.openxmlformats.org/officeDocument/2006/relationships/hyperlink" Target="#sewage!A1"/><Relationship Id="rId27" Type="http://schemas.openxmlformats.org/officeDocument/2006/relationships/hyperlink" Target="#refrigerant!A1"/><Relationship Id="rId30" Type="http://schemas.openxmlformats.org/officeDocument/2006/relationships/hyperlink" Target="#'pesticides labelling'!A1"/><Relationship Id="rId8" Type="http://schemas.openxmlformats.org/officeDocument/2006/relationships/image" Target="../media/image22.png"/></Relationships>
</file>

<file path=xl/drawings/_rels/drawing34.xml.rels><?xml version="1.0" encoding="UTF-8" standalone="yes"?>
<Relationships xmlns="http://schemas.openxmlformats.org/package/2006/relationships"><Relationship Id="rId13" Type="http://schemas.openxmlformats.org/officeDocument/2006/relationships/hyperlink" Target="#noise!A1"/><Relationship Id="rId18" Type="http://schemas.openxmlformats.org/officeDocument/2006/relationships/hyperlink" Target="#effluent!A1"/><Relationship Id="rId26" Type="http://schemas.openxmlformats.org/officeDocument/2006/relationships/hyperlink" Target="#FC!A1"/><Relationship Id="rId3" Type="http://schemas.openxmlformats.org/officeDocument/2006/relationships/image" Target="../media/image22.png"/><Relationship Id="rId21" Type="http://schemas.openxmlformats.org/officeDocument/2006/relationships/hyperlink" Target="#'diesel engine'!A1"/><Relationship Id="rId34" Type="http://schemas.openxmlformats.org/officeDocument/2006/relationships/hyperlink" Target="#UBBL!A1"/><Relationship Id="rId7" Type="http://schemas.openxmlformats.org/officeDocument/2006/relationships/hyperlink" Target="#WSIA!A1"/><Relationship Id="rId12" Type="http://schemas.openxmlformats.org/officeDocument/2006/relationships/hyperlink" Target="#USECHH!A1"/><Relationship Id="rId17" Type="http://schemas.openxmlformats.org/officeDocument/2006/relationships/hyperlink" Target="#'clean air'!A1"/><Relationship Id="rId25" Type="http://schemas.openxmlformats.org/officeDocument/2006/relationships/hyperlink" Target="#refrigerant!A1"/><Relationship Id="rId33" Type="http://schemas.openxmlformats.org/officeDocument/2006/relationships/image" Target="../media/image20.svg"/><Relationship Id="rId2" Type="http://schemas.openxmlformats.org/officeDocument/2006/relationships/hyperlink" Target="#Home!A1"/><Relationship Id="rId16" Type="http://schemas.openxmlformats.org/officeDocument/2006/relationships/hyperlink" Target="#CDM!A1"/><Relationship Id="rId20" Type="http://schemas.openxmlformats.org/officeDocument/2006/relationships/hyperlink" Target="#SW!A1"/><Relationship Id="rId29" Type="http://schemas.openxmlformats.org/officeDocument/2006/relationships/hyperlink" Target="#'pesticides labelling'!A1"/><Relationship Id="rId1" Type="http://schemas.openxmlformats.org/officeDocument/2006/relationships/hyperlink" Target="#OSHA!A1"/><Relationship Id="rId6" Type="http://schemas.openxmlformats.org/officeDocument/2006/relationships/hyperlink" Target="#FSA!A1"/><Relationship Id="rId11" Type="http://schemas.openxmlformats.org/officeDocument/2006/relationships/hyperlink" Target="#NADOPOD!A1"/><Relationship Id="rId24" Type="http://schemas.openxmlformats.org/officeDocument/2006/relationships/hyperlink" Target="#'ICOP Transport'!A1"/><Relationship Id="rId32" Type="http://schemas.openxmlformats.org/officeDocument/2006/relationships/image" Target="../media/image18.png"/><Relationship Id="rId5" Type="http://schemas.openxmlformats.org/officeDocument/2006/relationships/hyperlink" Target="#EQA!A1"/><Relationship Id="rId15" Type="http://schemas.openxmlformats.org/officeDocument/2006/relationships/hyperlink" Target="#CF!A1"/><Relationship Id="rId23" Type="http://schemas.openxmlformats.org/officeDocument/2006/relationships/hyperlink" Target="#'Control of Petrol &amp; Diesel'!A1"/><Relationship Id="rId28" Type="http://schemas.openxmlformats.org/officeDocument/2006/relationships/hyperlink" Target="#'sewerage system'!A1"/><Relationship Id="rId10" Type="http://schemas.openxmlformats.org/officeDocument/2006/relationships/hyperlink" Target="#Pesticides!A1"/><Relationship Id="rId19" Type="http://schemas.openxmlformats.org/officeDocument/2006/relationships/hyperlink" Target="#sewage!A1"/><Relationship Id="rId31" Type="http://schemas.openxmlformats.org/officeDocument/2006/relationships/hyperlink" Target="#Main!A1"/><Relationship Id="rId4" Type="http://schemas.openxmlformats.org/officeDocument/2006/relationships/image" Target="../media/image23.svg"/><Relationship Id="rId9" Type="http://schemas.openxmlformats.org/officeDocument/2006/relationships/hyperlink" Target="#CIDB!A1"/><Relationship Id="rId14" Type="http://schemas.openxmlformats.org/officeDocument/2006/relationships/hyperlink" Target="#shc!A1"/><Relationship Id="rId22" Type="http://schemas.openxmlformats.org/officeDocument/2006/relationships/hyperlink" Target="#'solid waste'!A1"/><Relationship Id="rId27" Type="http://schemas.openxmlformats.org/officeDocument/2006/relationships/hyperlink" Target="#CLASS!A1"/><Relationship Id="rId30" Type="http://schemas.openxmlformats.org/officeDocument/2006/relationships/hyperlink" Target="#MHA!A1"/><Relationship Id="rId8" Type="http://schemas.openxmlformats.org/officeDocument/2006/relationships/hyperlink" Target="#sewerage!A1"/></Relationships>
</file>

<file path=xl/drawings/drawing1.xml><?xml version="1.0" encoding="utf-8"?>
<xdr:wsDr xmlns:xdr="http://schemas.openxmlformats.org/drawingml/2006/spreadsheetDrawing" xmlns:a="http://schemas.openxmlformats.org/drawingml/2006/main">
  <xdr:twoCellAnchor editAs="oneCell">
    <xdr:from>
      <xdr:col>6</xdr:col>
      <xdr:colOff>90715</xdr:colOff>
      <xdr:row>20</xdr:row>
      <xdr:rowOff>101602</xdr:rowOff>
    </xdr:from>
    <xdr:to>
      <xdr:col>7</xdr:col>
      <xdr:colOff>479024</xdr:colOff>
      <xdr:row>23</xdr:row>
      <xdr:rowOff>90715</xdr:rowOff>
    </xdr:to>
    <xdr:pic>
      <xdr:nvPicPr>
        <xdr:cNvPr id="6" name="Picture 5">
          <a:extLst>
            <a:ext uri="{FF2B5EF4-FFF2-40B4-BE49-F238E27FC236}">
              <a16:creationId xmlns:a16="http://schemas.microsoft.com/office/drawing/2014/main" id="{5F80AFBE-2D20-42D3-B4DC-736F93F140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83429" y="5462816"/>
          <a:ext cx="633238" cy="769256"/>
        </a:xfrm>
        <a:prstGeom prst="rect">
          <a:avLst/>
        </a:prstGeom>
      </xdr:spPr>
    </xdr:pic>
    <xdr:clientData/>
  </xdr:twoCellAnchor>
  <xdr:twoCellAnchor editAs="oneCell">
    <xdr:from>
      <xdr:col>1</xdr:col>
      <xdr:colOff>0</xdr:colOff>
      <xdr:row>19</xdr:row>
      <xdr:rowOff>107950</xdr:rowOff>
    </xdr:from>
    <xdr:to>
      <xdr:col>2</xdr:col>
      <xdr:colOff>273050</xdr:colOff>
      <xdr:row>23</xdr:row>
      <xdr:rowOff>103187</xdr:rowOff>
    </xdr:to>
    <xdr:pic>
      <xdr:nvPicPr>
        <xdr:cNvPr id="7" name="Graphic 6" descr="Cloud Computing with solid fill">
          <a:extLst>
            <a:ext uri="{FF2B5EF4-FFF2-40B4-BE49-F238E27FC236}">
              <a16:creationId xmlns:a16="http://schemas.microsoft.com/office/drawing/2014/main" id="{BD850022-CAD6-4B93-82F4-CC52D309355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1450" y="5219700"/>
          <a:ext cx="914400" cy="908050"/>
        </a:xfrm>
        <a:prstGeom prst="rect">
          <a:avLst/>
        </a:prstGeom>
      </xdr:spPr>
    </xdr:pic>
    <xdr:clientData/>
  </xdr:twoCellAnchor>
  <xdr:twoCellAnchor editAs="oneCell">
    <xdr:from>
      <xdr:col>2</xdr:col>
      <xdr:colOff>577850</xdr:colOff>
      <xdr:row>15</xdr:row>
      <xdr:rowOff>82550</xdr:rowOff>
    </xdr:from>
    <xdr:to>
      <xdr:col>4</xdr:col>
      <xdr:colOff>209550</xdr:colOff>
      <xdr:row>17</xdr:row>
      <xdr:rowOff>285750</xdr:rowOff>
    </xdr:to>
    <xdr:pic>
      <xdr:nvPicPr>
        <xdr:cNvPr id="10" name="Graphic 9" descr="Badge 1 with solid fill">
          <a:extLst>
            <a:ext uri="{FF2B5EF4-FFF2-40B4-BE49-F238E27FC236}">
              <a16:creationId xmlns:a16="http://schemas.microsoft.com/office/drawing/2014/main" id="{CBB49009-8622-D0D1-7197-27C829C90BBE}"/>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1390650" y="3975100"/>
          <a:ext cx="914400" cy="914400"/>
        </a:xfrm>
        <a:prstGeom prst="rect">
          <a:avLst/>
        </a:prstGeom>
      </xdr:spPr>
    </xdr:pic>
    <xdr:clientData/>
  </xdr:twoCellAnchor>
  <xdr:twoCellAnchor editAs="oneCell">
    <xdr:from>
      <xdr:col>7</xdr:col>
      <xdr:colOff>615950</xdr:colOff>
      <xdr:row>15</xdr:row>
      <xdr:rowOff>50800</xdr:rowOff>
    </xdr:from>
    <xdr:to>
      <xdr:col>9</xdr:col>
      <xdr:colOff>247650</xdr:colOff>
      <xdr:row>17</xdr:row>
      <xdr:rowOff>254000</xdr:rowOff>
    </xdr:to>
    <xdr:pic>
      <xdr:nvPicPr>
        <xdr:cNvPr id="14" name="Graphic 13" descr="Badge with solid fill">
          <a:extLst>
            <a:ext uri="{FF2B5EF4-FFF2-40B4-BE49-F238E27FC236}">
              <a16:creationId xmlns:a16="http://schemas.microsoft.com/office/drawing/2014/main" id="{C702F61B-24AD-566C-E696-8982B5D27375}"/>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4235450" y="3943350"/>
          <a:ext cx="914400" cy="914400"/>
        </a:xfrm>
        <a:prstGeom prst="rect">
          <a:avLst/>
        </a:prstGeom>
      </xdr:spPr>
    </xdr:pic>
    <xdr:clientData/>
  </xdr:twoCellAnchor>
  <xdr:twoCellAnchor editAs="oneCell">
    <xdr:from>
      <xdr:col>13</xdr:col>
      <xdr:colOff>133350</xdr:colOff>
      <xdr:row>14</xdr:row>
      <xdr:rowOff>146050</xdr:rowOff>
    </xdr:from>
    <xdr:to>
      <xdr:col>14</xdr:col>
      <xdr:colOff>406400</xdr:colOff>
      <xdr:row>17</xdr:row>
      <xdr:rowOff>196850</xdr:rowOff>
    </xdr:to>
    <xdr:pic>
      <xdr:nvPicPr>
        <xdr:cNvPr id="16" name="Graphic 15" descr="Badge 3 with solid fill">
          <a:extLst>
            <a:ext uri="{FF2B5EF4-FFF2-40B4-BE49-F238E27FC236}">
              <a16:creationId xmlns:a16="http://schemas.microsoft.com/office/drawing/2014/main" id="{0D01B026-1DEA-07A0-A056-B8E9D89B6A07}"/>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7200900" y="3886200"/>
          <a:ext cx="914400" cy="914400"/>
        </a:xfrm>
        <a:prstGeom prst="rect">
          <a:avLst/>
        </a:prstGeom>
      </xdr:spPr>
    </xdr:pic>
    <xdr:clientData/>
  </xdr:twoCellAnchor>
  <xdr:twoCellAnchor editAs="oneCell">
    <xdr:from>
      <xdr:col>10</xdr:col>
      <xdr:colOff>249169</xdr:colOff>
      <xdr:row>20</xdr:row>
      <xdr:rowOff>690</xdr:rowOff>
    </xdr:from>
    <xdr:to>
      <xdr:col>11</xdr:col>
      <xdr:colOff>520631</xdr:colOff>
      <xdr:row>23</xdr:row>
      <xdr:rowOff>129277</xdr:rowOff>
    </xdr:to>
    <xdr:pic>
      <xdr:nvPicPr>
        <xdr:cNvPr id="15" name="Graphic 14" descr="Lock with solid fill">
          <a:extLst>
            <a:ext uri="{FF2B5EF4-FFF2-40B4-BE49-F238E27FC236}">
              <a16:creationId xmlns:a16="http://schemas.microsoft.com/office/drawing/2014/main" id="{79FB4DD5-BC72-C983-9303-C20990CB08E4}"/>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787473" y="5351255"/>
          <a:ext cx="911984" cy="907152"/>
        </a:xfrm>
        <a:prstGeom prst="rect">
          <a:avLst/>
        </a:prstGeom>
      </xdr:spPr>
    </xdr:pic>
    <xdr:clientData/>
  </xdr:twoCellAnchor>
  <xdr:twoCellAnchor editAs="oneCell">
    <xdr:from>
      <xdr:col>14</xdr:col>
      <xdr:colOff>480392</xdr:colOff>
      <xdr:row>20</xdr:row>
      <xdr:rowOff>99393</xdr:rowOff>
    </xdr:from>
    <xdr:to>
      <xdr:col>15</xdr:col>
      <xdr:colOff>563217</xdr:colOff>
      <xdr:row>23</xdr:row>
      <xdr:rowOff>44175</xdr:rowOff>
    </xdr:to>
    <xdr:pic>
      <xdr:nvPicPr>
        <xdr:cNvPr id="18" name="Graphic 17" descr="Badge Question Mark with solid fill">
          <a:extLst>
            <a:ext uri="{FF2B5EF4-FFF2-40B4-BE49-F238E27FC236}">
              <a16:creationId xmlns:a16="http://schemas.microsoft.com/office/drawing/2014/main" id="{9BA6ABE8-771E-11BA-8410-0E170474CEB2}"/>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8183218" y="5449958"/>
          <a:ext cx="723347" cy="723347"/>
        </a:xfrm>
        <a:prstGeom prst="rect">
          <a:avLst/>
        </a:prstGeom>
      </xdr:spPr>
    </xdr:pic>
    <xdr:clientData/>
  </xdr:twoCellAnchor>
  <xdr:twoCellAnchor editAs="oneCell">
    <xdr:from>
      <xdr:col>1</xdr:col>
      <xdr:colOff>287735</xdr:colOff>
      <xdr:row>2</xdr:row>
      <xdr:rowOff>185117</xdr:rowOff>
    </xdr:from>
    <xdr:to>
      <xdr:col>16</xdr:col>
      <xdr:colOff>595314</xdr:colOff>
      <xdr:row>20</xdr:row>
      <xdr:rowOff>105007</xdr:rowOff>
    </xdr:to>
    <xdr:pic>
      <xdr:nvPicPr>
        <xdr:cNvPr id="9" name="Picture 8">
          <a:extLst>
            <a:ext uri="{FF2B5EF4-FFF2-40B4-BE49-F238E27FC236}">
              <a16:creationId xmlns:a16="http://schemas.microsoft.com/office/drawing/2014/main" id="{20343EF4-3167-F04F-CE02-1DF2DF356DFD}"/>
            </a:ext>
          </a:extLst>
        </xdr:cNvPr>
        <xdr:cNvPicPr>
          <a:picLocks noChangeAspect="1"/>
        </xdr:cNvPicPr>
      </xdr:nvPicPr>
      <xdr:blipFill>
        <a:blip xmlns:r="http://schemas.openxmlformats.org/officeDocument/2006/relationships" r:embed="rId14">
          <a:extLst>
            <a:ext uri="{BEBA8EAE-BF5A-486C-A8C5-ECC9F3942E4B}">
              <a14:imgProps xmlns:a14="http://schemas.microsoft.com/office/drawing/2010/main">
                <a14:imgLayer r:embed="rId15">
                  <a14:imgEffect>
                    <a14:backgroundRemoval t="9777" b="89692" l="2572" r="97010">
                      <a14:foregroundMark x1="6280" y1="37938" x2="11603" y2="46015"/>
                      <a14:foregroundMark x1="11603" y1="46015" x2="19199" y2="47396"/>
                      <a14:foregroundMark x1="19199" y1="47396" x2="16567" y2="35919"/>
                      <a14:foregroundMark x1="16567" y1="35919" x2="7955" y2="43996"/>
                      <a14:foregroundMark x1="7955" y1="43996" x2="10586" y2="54835"/>
                      <a14:foregroundMark x1="10586" y1="54835" x2="14833" y2="54729"/>
                      <a14:foregroundMark x1="14833" y1="54729" x2="15371" y2="54198"/>
                      <a14:foregroundMark x1="3170" y1="35494" x2="2632" y2="56004"/>
                      <a14:foregroundMark x1="2632" y1="56004" x2="5981" y2="60680"/>
                      <a14:foregroundMark x1="5981" y1="60680" x2="9390" y2="63018"/>
                      <a14:foregroundMark x1="9390" y1="63018" x2="9689" y2="62912"/>
                      <a14:foregroundMark x1="4725" y1="63443" x2="2572" y2="60043"/>
                      <a14:foregroundMark x1="5801" y1="40808" x2="7237" y2="53560"/>
                      <a14:foregroundMark x1="3888" y1="45165" x2="6041" y2="49522"/>
                      <a14:foregroundMark x1="28409" y1="37620" x2="37739" y2="46121"/>
                      <a14:foregroundMark x1="37739" y1="46121" x2="37919" y2="46440"/>
                      <a14:foregroundMark x1="32476" y1="51541" x2="35167" y2="48565"/>
                      <a14:foregroundMark x1="59988" y1="43146" x2="65490" y2="48140"/>
                      <a14:foregroundMark x1="65490" y1="48140" x2="70873" y2="48459"/>
                      <a14:foregroundMark x1="70873" y1="48459" x2="66687" y2="40914"/>
                      <a14:foregroundMark x1="66687" y1="40914" x2="60885" y2="48884"/>
                      <a14:foregroundMark x1="60885" y1="48884" x2="60885" y2="54623"/>
                      <a14:foregroundMark x1="60885" y1="54623" x2="63636" y2="56642"/>
                      <a14:foregroundMark x1="54665" y1="42721" x2="60108" y2="48140"/>
                      <a14:foregroundMark x1="55144" y1="39426" x2="53409" y2="51753"/>
                      <a14:foregroundMark x1="53409" y1="51753" x2="56818" y2="52497"/>
                      <a14:foregroundMark x1="56818" y1="52497" x2="57656" y2="48884"/>
                      <a14:foregroundMark x1="81579" y1="43464" x2="84211" y2="51647"/>
                      <a14:foregroundMark x1="84211" y1="51647" x2="93062" y2="51328"/>
                      <a14:foregroundMark x1="93062" y1="51328" x2="87022" y2="41658"/>
                      <a14:foregroundMark x1="87022" y1="41658" x2="82237" y2="51116"/>
                      <a14:foregroundMark x1="82237" y1="51116" x2="86065" y2="56429"/>
                      <a14:foregroundMark x1="86065" y1="56429" x2="92105" y2="46652"/>
                      <a14:foregroundMark x1="92105" y1="46652" x2="88636" y2="36132"/>
                      <a14:foregroundMark x1="88636" y1="36132" x2="80443" y2="37194"/>
                      <a14:foregroundMark x1="80443" y1="37194" x2="77990" y2="48778"/>
                      <a14:foregroundMark x1="77990" y1="48778" x2="80921" y2="57173"/>
                      <a14:foregroundMark x1="80921" y1="57173" x2="87081" y2="58448"/>
                      <a14:foregroundMark x1="87081" y1="58448" x2="94258" y2="54835"/>
                      <a14:foregroundMark x1="94258" y1="54835" x2="96591" y2="46440"/>
                      <a14:foregroundMark x1="96591" y1="46440" x2="96053" y2="39214"/>
                      <a14:foregroundMark x1="96053" y1="39214" x2="92883" y2="36238"/>
                      <a14:foregroundMark x1="92883" y1="36238" x2="90431" y2="37088"/>
                      <a14:foregroundMark x1="96651" y1="62806" x2="97010" y2="38257"/>
                      <a14:foregroundMark x1="80383" y1="38470" x2="77273" y2="44740"/>
                      <a14:foregroundMark x1="77273" y1="44740" x2="77512" y2="41764"/>
                      <a14:foregroundMark x1="57416" y1="39851" x2="67225" y2="35919"/>
                      <a14:foregroundMark x1="67225" y1="35919" x2="68361" y2="36238"/>
                      <a14:foregroundMark x1="66926" y1="38895" x2="71172" y2="41126"/>
                      <a14:foregroundMark x1="71172" y1="41126" x2="71890" y2="39957"/>
                      <a14:foregroundMark x1="36902" y1="42614" x2="33971" y2="37407"/>
                      <a14:foregroundMark x1="33971" y1="37407" x2="33971" y2="37407"/>
                    </a14:backgroundRemoval>
                  </a14:imgEffect>
                </a14:imgLayer>
              </a14:imgProps>
            </a:ext>
            <a:ext uri="{28A0092B-C50C-407E-A947-70E740481C1C}">
              <a14:useLocalDpi xmlns:a14="http://schemas.microsoft.com/office/drawing/2010/main" val="0"/>
            </a:ext>
          </a:extLst>
        </a:blip>
        <a:stretch>
          <a:fillRect/>
        </a:stretch>
      </xdr:blipFill>
      <xdr:spPr>
        <a:xfrm>
          <a:off x="456407" y="393476"/>
          <a:ext cx="9167813" cy="5158640"/>
        </a:xfrm>
        <a:prstGeom prst="rect">
          <a:avLst/>
        </a:prstGeom>
      </xdr:spPr>
    </xdr:pic>
    <xdr:clientData/>
  </xdr:twoCellAnchor>
  <xdr:twoCellAnchor>
    <xdr:from>
      <xdr:col>1</xdr:col>
      <xdr:colOff>379237</xdr:colOff>
      <xdr:row>7</xdr:row>
      <xdr:rowOff>44098</xdr:rowOff>
    </xdr:from>
    <xdr:to>
      <xdr:col>5</xdr:col>
      <xdr:colOff>194028</xdr:colOff>
      <xdr:row>14</xdr:row>
      <xdr:rowOff>26459</xdr:rowOff>
    </xdr:to>
    <xdr:sp macro="" textlink="">
      <xdr:nvSpPr>
        <xdr:cNvPr id="2" name="Rectangle 1">
          <a:hlinkClick xmlns:r="http://schemas.openxmlformats.org/officeDocument/2006/relationships" r:id="rId16"/>
          <a:extLst>
            <a:ext uri="{FF2B5EF4-FFF2-40B4-BE49-F238E27FC236}">
              <a16:creationId xmlns:a16="http://schemas.microsoft.com/office/drawing/2014/main" id="{58E49340-6046-DDCC-090F-F7A8CA0E4655}"/>
            </a:ext>
          </a:extLst>
        </xdr:cNvPr>
        <xdr:cNvSpPr/>
      </xdr:nvSpPr>
      <xdr:spPr>
        <a:xfrm>
          <a:off x="546806" y="1799167"/>
          <a:ext cx="2390069" cy="2178403"/>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170041</xdr:colOff>
      <xdr:row>7</xdr:row>
      <xdr:rowOff>90665</xdr:rowOff>
    </xdr:from>
    <xdr:to>
      <xdr:col>9</xdr:col>
      <xdr:colOff>273403</xdr:colOff>
      <xdr:row>13</xdr:row>
      <xdr:rowOff>123472</xdr:rowOff>
    </xdr:to>
    <xdr:sp macro="" textlink="">
      <xdr:nvSpPr>
        <xdr:cNvPr id="3" name="Rectangle 2">
          <a:hlinkClick xmlns:r="http://schemas.openxmlformats.org/officeDocument/2006/relationships" r:id="rId17"/>
          <a:extLst>
            <a:ext uri="{FF2B5EF4-FFF2-40B4-BE49-F238E27FC236}">
              <a16:creationId xmlns:a16="http://schemas.microsoft.com/office/drawing/2014/main" id="{EAACCEF5-FAEC-4134-A0ED-3E1A40B26ACE}"/>
            </a:ext>
          </a:extLst>
        </xdr:cNvPr>
        <xdr:cNvSpPr/>
      </xdr:nvSpPr>
      <xdr:spPr>
        <a:xfrm>
          <a:off x="2912888" y="1845734"/>
          <a:ext cx="2272946" cy="207891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229304</xdr:colOff>
      <xdr:row>7</xdr:row>
      <xdr:rowOff>49037</xdr:rowOff>
    </xdr:from>
    <xdr:to>
      <xdr:col>13</xdr:col>
      <xdr:colOff>231774</xdr:colOff>
      <xdr:row>13</xdr:row>
      <xdr:rowOff>81844</xdr:rowOff>
    </xdr:to>
    <xdr:sp macro="" textlink="">
      <xdr:nvSpPr>
        <xdr:cNvPr id="4" name="Rectangle 3">
          <a:hlinkClick xmlns:r="http://schemas.openxmlformats.org/officeDocument/2006/relationships" r:id="rId18"/>
          <a:extLst>
            <a:ext uri="{FF2B5EF4-FFF2-40B4-BE49-F238E27FC236}">
              <a16:creationId xmlns:a16="http://schemas.microsoft.com/office/drawing/2014/main" id="{6CB78E76-E29A-4586-A1B5-341FFC8E1F8E}"/>
            </a:ext>
          </a:extLst>
        </xdr:cNvPr>
        <xdr:cNvSpPr/>
      </xdr:nvSpPr>
      <xdr:spPr>
        <a:xfrm>
          <a:off x="5141735" y="1804106"/>
          <a:ext cx="2172053" cy="207891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222954</xdr:colOff>
      <xdr:row>6</xdr:row>
      <xdr:rowOff>42687</xdr:rowOff>
    </xdr:from>
    <xdr:to>
      <xdr:col>16</xdr:col>
      <xdr:colOff>463549</xdr:colOff>
      <xdr:row>13</xdr:row>
      <xdr:rowOff>31397</xdr:rowOff>
    </xdr:to>
    <xdr:sp macro="" textlink="">
      <xdr:nvSpPr>
        <xdr:cNvPr id="5" name="Rectangle 4">
          <a:hlinkClick xmlns:r="http://schemas.openxmlformats.org/officeDocument/2006/relationships" r:id="rId19"/>
          <a:extLst>
            <a:ext uri="{FF2B5EF4-FFF2-40B4-BE49-F238E27FC236}">
              <a16:creationId xmlns:a16="http://schemas.microsoft.com/office/drawing/2014/main" id="{68B24004-9AE6-429C-9B3A-4A475D7632BB}"/>
            </a:ext>
          </a:extLst>
        </xdr:cNvPr>
        <xdr:cNvSpPr/>
      </xdr:nvSpPr>
      <xdr:spPr>
        <a:xfrm>
          <a:off x="7304968" y="1753659"/>
          <a:ext cx="2172053" cy="2078919"/>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488950</xdr:colOff>
      <xdr:row>11</xdr:row>
      <xdr:rowOff>171450</xdr:rowOff>
    </xdr:from>
    <xdr:to>
      <xdr:col>17</xdr:col>
      <xdr:colOff>889000</xdr:colOff>
      <xdr:row>12</xdr:row>
      <xdr:rowOff>260350</xdr:rowOff>
    </xdr:to>
    <xdr:sp macro="" textlink="">
      <xdr:nvSpPr>
        <xdr:cNvPr id="11" name="Rectangle: Rounded Corners 10">
          <a:hlinkClick xmlns:r="http://schemas.openxmlformats.org/officeDocument/2006/relationships" r:id="rId20"/>
          <a:extLst>
            <a:ext uri="{FF2B5EF4-FFF2-40B4-BE49-F238E27FC236}">
              <a16:creationId xmlns:a16="http://schemas.microsoft.com/office/drawing/2014/main" id="{48DD852E-0E21-A59A-4768-EE3E99A52D35}"/>
            </a:ext>
          </a:extLst>
        </xdr:cNvPr>
        <xdr:cNvSpPr/>
      </xdr:nvSpPr>
      <xdr:spPr>
        <a:xfrm>
          <a:off x="9480550" y="3225800"/>
          <a:ext cx="1041400" cy="469900"/>
        </a:xfrm>
        <a:prstGeom prst="roundRect">
          <a:avLst/>
        </a:prstGeom>
      </xdr:spPr>
      <xdr:style>
        <a:lnRef idx="1">
          <a:schemeClr val="accent5"/>
        </a:lnRef>
        <a:fillRef idx="3">
          <a:schemeClr val="accent5"/>
        </a:fillRef>
        <a:effectRef idx="2">
          <a:schemeClr val="accent5"/>
        </a:effectRef>
        <a:fontRef idx="minor">
          <a:schemeClr val="lt1"/>
        </a:fontRef>
      </xdr:style>
      <xdr:txBody>
        <a:bodyPr vertOverflow="clip" horzOverflow="clip" tIns="27432" bIns="0" rtlCol="0" anchor="t"/>
        <a:lstStyle/>
        <a:p>
          <a:pPr algn="ctr"/>
          <a:r>
            <a:rPr lang="en-US" sz="1100"/>
            <a:t>Abbreviations / Short Names</a:t>
          </a:r>
        </a:p>
      </xdr:txBody>
    </xdr:sp>
    <xdr:clientData/>
  </xdr:twoCellAnchor>
  <xdr:twoCellAnchor editAs="oneCell">
    <xdr:from>
      <xdr:col>0</xdr:col>
      <xdr:colOff>0</xdr:colOff>
      <xdr:row>1</xdr:row>
      <xdr:rowOff>165100</xdr:rowOff>
    </xdr:from>
    <xdr:to>
      <xdr:col>4</xdr:col>
      <xdr:colOff>355784</xdr:colOff>
      <xdr:row>3</xdr:row>
      <xdr:rowOff>397376</xdr:rowOff>
    </xdr:to>
    <xdr:pic>
      <xdr:nvPicPr>
        <xdr:cNvPr id="13" name="Picture 12">
          <a:extLst>
            <a:ext uri="{FF2B5EF4-FFF2-40B4-BE49-F238E27FC236}">
              <a16:creationId xmlns:a16="http://schemas.microsoft.com/office/drawing/2014/main" id="{7FA9D968-86C5-4321-9352-9ACBDEE45FA8}"/>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0" y="209550"/>
          <a:ext cx="2451284" cy="7593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5521</xdr:colOff>
      <xdr:row>15</xdr:row>
      <xdr:rowOff>27609</xdr:rowOff>
    </xdr:from>
    <xdr:to>
      <xdr:col>9</xdr:col>
      <xdr:colOff>303695</xdr:colOff>
      <xdr:row>16</xdr:row>
      <xdr:rowOff>143566</xdr:rowOff>
    </xdr:to>
    <xdr:pic>
      <xdr:nvPicPr>
        <xdr:cNvPr id="9" name="Graphic 8" descr="Cursor outline">
          <a:hlinkClick xmlns:r="http://schemas.openxmlformats.org/officeDocument/2006/relationships" r:id="rId1"/>
          <a:extLst>
            <a:ext uri="{FF2B5EF4-FFF2-40B4-BE49-F238E27FC236}">
              <a16:creationId xmlns:a16="http://schemas.microsoft.com/office/drawing/2014/main" id="{16E7416F-71BA-21BD-641F-17542238D8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335131"/>
          <a:ext cx="298174" cy="298174"/>
        </a:xfrm>
        <a:prstGeom prst="rect">
          <a:avLst/>
        </a:prstGeom>
      </xdr:spPr>
    </xdr:pic>
    <xdr:clientData/>
  </xdr:twoCellAnchor>
  <xdr:oneCellAnchor>
    <xdr:from>
      <xdr:col>9</xdr:col>
      <xdr:colOff>5521</xdr:colOff>
      <xdr:row>22</xdr:row>
      <xdr:rowOff>27609</xdr:rowOff>
    </xdr:from>
    <xdr:ext cx="298174" cy="298174"/>
    <xdr:pic>
      <xdr:nvPicPr>
        <xdr:cNvPr id="10" name="Graphic 9" descr="Cursor outline">
          <a:hlinkClick xmlns:r="http://schemas.openxmlformats.org/officeDocument/2006/relationships" r:id="rId4"/>
          <a:extLst>
            <a:ext uri="{FF2B5EF4-FFF2-40B4-BE49-F238E27FC236}">
              <a16:creationId xmlns:a16="http://schemas.microsoft.com/office/drawing/2014/main" id="{31C60944-9B4C-496C-B42B-59216960222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335131"/>
          <a:ext cx="298174" cy="298174"/>
        </a:xfrm>
        <a:prstGeom prst="rect">
          <a:avLst/>
        </a:prstGeom>
      </xdr:spPr>
    </xdr:pic>
    <xdr:clientData/>
  </xdr:oneCellAnchor>
  <xdr:oneCellAnchor>
    <xdr:from>
      <xdr:col>9</xdr:col>
      <xdr:colOff>5521</xdr:colOff>
      <xdr:row>28</xdr:row>
      <xdr:rowOff>27609</xdr:rowOff>
    </xdr:from>
    <xdr:ext cx="298174" cy="298174"/>
    <xdr:pic>
      <xdr:nvPicPr>
        <xdr:cNvPr id="11" name="Graphic 10" descr="Cursor outline">
          <a:hlinkClick xmlns:r="http://schemas.openxmlformats.org/officeDocument/2006/relationships" r:id="rId5"/>
          <a:extLst>
            <a:ext uri="{FF2B5EF4-FFF2-40B4-BE49-F238E27FC236}">
              <a16:creationId xmlns:a16="http://schemas.microsoft.com/office/drawing/2014/main" id="{ECBE7E56-9DF0-497A-A49A-03FDA487513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522305"/>
          <a:ext cx="298174" cy="298174"/>
        </a:xfrm>
        <a:prstGeom prst="rect">
          <a:avLst/>
        </a:prstGeom>
      </xdr:spPr>
    </xdr:pic>
    <xdr:clientData/>
  </xdr:oneCellAnchor>
  <xdr:oneCellAnchor>
    <xdr:from>
      <xdr:col>9</xdr:col>
      <xdr:colOff>5521</xdr:colOff>
      <xdr:row>42</xdr:row>
      <xdr:rowOff>27609</xdr:rowOff>
    </xdr:from>
    <xdr:ext cx="298174" cy="298174"/>
    <xdr:pic>
      <xdr:nvPicPr>
        <xdr:cNvPr id="12" name="Graphic 11" descr="Cursor outline">
          <a:hlinkClick xmlns:r="http://schemas.openxmlformats.org/officeDocument/2006/relationships" r:id="rId6"/>
          <a:extLst>
            <a:ext uri="{FF2B5EF4-FFF2-40B4-BE49-F238E27FC236}">
              <a16:creationId xmlns:a16="http://schemas.microsoft.com/office/drawing/2014/main" id="{1D34CA68-95C4-4938-BF2A-4132BB2E08D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908261"/>
          <a:ext cx="298174" cy="298174"/>
        </a:xfrm>
        <a:prstGeom prst="rect">
          <a:avLst/>
        </a:prstGeom>
      </xdr:spPr>
    </xdr:pic>
    <xdr:clientData/>
  </xdr:oneCellAnchor>
  <xdr:oneCellAnchor>
    <xdr:from>
      <xdr:col>9</xdr:col>
      <xdr:colOff>5521</xdr:colOff>
      <xdr:row>48</xdr:row>
      <xdr:rowOff>27609</xdr:rowOff>
    </xdr:from>
    <xdr:ext cx="298174" cy="298174"/>
    <xdr:pic>
      <xdr:nvPicPr>
        <xdr:cNvPr id="15" name="Graphic 14" descr="Cursor outline">
          <a:hlinkClick xmlns:r="http://schemas.openxmlformats.org/officeDocument/2006/relationships" r:id="rId7"/>
          <a:extLst>
            <a:ext uri="{FF2B5EF4-FFF2-40B4-BE49-F238E27FC236}">
              <a16:creationId xmlns:a16="http://schemas.microsoft.com/office/drawing/2014/main" id="{2271BE12-52D7-4CAD-95CF-BADC7EE279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9254435"/>
          <a:ext cx="298174" cy="298174"/>
        </a:xfrm>
        <a:prstGeom prst="rect">
          <a:avLst/>
        </a:prstGeom>
      </xdr:spPr>
    </xdr:pic>
    <xdr:clientData/>
  </xdr:oneCellAnchor>
  <xdr:oneCellAnchor>
    <xdr:from>
      <xdr:col>9</xdr:col>
      <xdr:colOff>5521</xdr:colOff>
      <xdr:row>54</xdr:row>
      <xdr:rowOff>27609</xdr:rowOff>
    </xdr:from>
    <xdr:ext cx="298174" cy="298174"/>
    <xdr:pic>
      <xdr:nvPicPr>
        <xdr:cNvPr id="16" name="Graphic 15" descr="Cursor outline">
          <a:hlinkClick xmlns:r="http://schemas.openxmlformats.org/officeDocument/2006/relationships" r:id="rId8"/>
          <a:extLst>
            <a:ext uri="{FF2B5EF4-FFF2-40B4-BE49-F238E27FC236}">
              <a16:creationId xmlns:a16="http://schemas.microsoft.com/office/drawing/2014/main" id="{455AB43D-8F1E-4887-B291-3421A24B984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0850218"/>
          <a:ext cx="298174" cy="298174"/>
        </a:xfrm>
        <a:prstGeom prst="rect">
          <a:avLst/>
        </a:prstGeom>
      </xdr:spPr>
    </xdr:pic>
    <xdr:clientData/>
  </xdr:oneCellAnchor>
  <xdr:oneCellAnchor>
    <xdr:from>
      <xdr:col>9</xdr:col>
      <xdr:colOff>5521</xdr:colOff>
      <xdr:row>60</xdr:row>
      <xdr:rowOff>27609</xdr:rowOff>
    </xdr:from>
    <xdr:ext cx="298174" cy="298174"/>
    <xdr:pic>
      <xdr:nvPicPr>
        <xdr:cNvPr id="17" name="Graphic 16" descr="Cursor outline">
          <a:hlinkClick xmlns:r="http://schemas.openxmlformats.org/officeDocument/2006/relationships" r:id="rId9"/>
          <a:extLst>
            <a:ext uri="{FF2B5EF4-FFF2-40B4-BE49-F238E27FC236}">
              <a16:creationId xmlns:a16="http://schemas.microsoft.com/office/drawing/2014/main" id="{519CFE27-2CAB-47F7-8B05-7E8B6FEA2DE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2236174"/>
          <a:ext cx="298174" cy="298174"/>
        </a:xfrm>
        <a:prstGeom prst="rect">
          <a:avLst/>
        </a:prstGeom>
      </xdr:spPr>
    </xdr:pic>
    <xdr:clientData/>
  </xdr:oneCellAnchor>
  <xdr:oneCellAnchor>
    <xdr:from>
      <xdr:col>9</xdr:col>
      <xdr:colOff>5521</xdr:colOff>
      <xdr:row>74</xdr:row>
      <xdr:rowOff>27609</xdr:rowOff>
    </xdr:from>
    <xdr:ext cx="298174" cy="298174"/>
    <xdr:pic>
      <xdr:nvPicPr>
        <xdr:cNvPr id="18" name="Graphic 17" descr="Cursor outline">
          <a:hlinkClick xmlns:r="http://schemas.openxmlformats.org/officeDocument/2006/relationships" r:id="rId10"/>
          <a:extLst>
            <a:ext uri="{FF2B5EF4-FFF2-40B4-BE49-F238E27FC236}">
              <a16:creationId xmlns:a16="http://schemas.microsoft.com/office/drawing/2014/main" id="{8170CCBE-9B8A-4A32-9802-0D86E4AA741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3622131"/>
          <a:ext cx="298174" cy="298174"/>
        </a:xfrm>
        <a:prstGeom prst="rect">
          <a:avLst/>
        </a:prstGeom>
      </xdr:spPr>
    </xdr:pic>
    <xdr:clientData/>
  </xdr:oneCellAnchor>
  <xdr:oneCellAnchor>
    <xdr:from>
      <xdr:col>9</xdr:col>
      <xdr:colOff>5521</xdr:colOff>
      <xdr:row>80</xdr:row>
      <xdr:rowOff>27609</xdr:rowOff>
    </xdr:from>
    <xdr:ext cx="298174" cy="298174"/>
    <xdr:pic>
      <xdr:nvPicPr>
        <xdr:cNvPr id="19" name="Graphic 18" descr="Cursor outline">
          <a:hlinkClick xmlns:r="http://schemas.openxmlformats.org/officeDocument/2006/relationships" r:id="rId11"/>
          <a:extLst>
            <a:ext uri="{FF2B5EF4-FFF2-40B4-BE49-F238E27FC236}">
              <a16:creationId xmlns:a16="http://schemas.microsoft.com/office/drawing/2014/main" id="{AEDE6244-A0C6-4840-9F61-64D9D021F71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5582348"/>
          <a:ext cx="298174" cy="298174"/>
        </a:xfrm>
        <a:prstGeom prst="rect">
          <a:avLst/>
        </a:prstGeom>
      </xdr:spPr>
    </xdr:pic>
    <xdr:clientData/>
  </xdr:oneCellAnchor>
  <xdr:oneCellAnchor>
    <xdr:from>
      <xdr:col>9</xdr:col>
      <xdr:colOff>5521</xdr:colOff>
      <xdr:row>86</xdr:row>
      <xdr:rowOff>27609</xdr:rowOff>
    </xdr:from>
    <xdr:ext cx="298174" cy="298174"/>
    <xdr:pic>
      <xdr:nvPicPr>
        <xdr:cNvPr id="20" name="Graphic 19" descr="Cursor outline">
          <a:hlinkClick xmlns:r="http://schemas.openxmlformats.org/officeDocument/2006/relationships" r:id="rId8"/>
          <a:extLst>
            <a:ext uri="{FF2B5EF4-FFF2-40B4-BE49-F238E27FC236}">
              <a16:creationId xmlns:a16="http://schemas.microsoft.com/office/drawing/2014/main" id="{7731683F-6508-4FDC-ACF6-C6F24B819E4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6968305"/>
          <a:ext cx="298174" cy="298174"/>
        </a:xfrm>
        <a:prstGeom prst="rect">
          <a:avLst/>
        </a:prstGeom>
      </xdr:spPr>
    </xdr:pic>
    <xdr:clientData/>
  </xdr:oneCellAnchor>
  <xdr:oneCellAnchor>
    <xdr:from>
      <xdr:col>9</xdr:col>
      <xdr:colOff>5521</xdr:colOff>
      <xdr:row>92</xdr:row>
      <xdr:rowOff>27609</xdr:rowOff>
    </xdr:from>
    <xdr:ext cx="298174" cy="298174"/>
    <xdr:pic>
      <xdr:nvPicPr>
        <xdr:cNvPr id="29" name="Graphic 28" descr="Cursor outline">
          <a:hlinkClick xmlns:r="http://schemas.openxmlformats.org/officeDocument/2006/relationships" r:id="rId12"/>
          <a:extLst>
            <a:ext uri="{FF2B5EF4-FFF2-40B4-BE49-F238E27FC236}">
              <a16:creationId xmlns:a16="http://schemas.microsoft.com/office/drawing/2014/main" id="{1877614C-1C4D-4314-AAEB-6CBF50BC019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8354261"/>
          <a:ext cx="298174" cy="298174"/>
        </a:xfrm>
        <a:prstGeom prst="rect">
          <a:avLst/>
        </a:prstGeom>
      </xdr:spPr>
    </xdr:pic>
    <xdr:clientData/>
  </xdr:oneCellAnchor>
  <xdr:oneCellAnchor>
    <xdr:from>
      <xdr:col>9</xdr:col>
      <xdr:colOff>5521</xdr:colOff>
      <xdr:row>92</xdr:row>
      <xdr:rowOff>27609</xdr:rowOff>
    </xdr:from>
    <xdr:ext cx="298174" cy="298174"/>
    <xdr:pic>
      <xdr:nvPicPr>
        <xdr:cNvPr id="30" name="Graphic 29" descr="Cursor outline">
          <a:hlinkClick xmlns:r="http://schemas.openxmlformats.org/officeDocument/2006/relationships" r:id="rId12"/>
          <a:extLst>
            <a:ext uri="{FF2B5EF4-FFF2-40B4-BE49-F238E27FC236}">
              <a16:creationId xmlns:a16="http://schemas.microsoft.com/office/drawing/2014/main" id="{57799267-882B-49CA-97F5-42848430818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8354261"/>
          <a:ext cx="298174" cy="298174"/>
        </a:xfrm>
        <a:prstGeom prst="rect">
          <a:avLst/>
        </a:prstGeom>
      </xdr:spPr>
    </xdr:pic>
    <xdr:clientData/>
  </xdr:oneCellAnchor>
  <xdr:oneCellAnchor>
    <xdr:from>
      <xdr:col>9</xdr:col>
      <xdr:colOff>5521</xdr:colOff>
      <xdr:row>98</xdr:row>
      <xdr:rowOff>27609</xdr:rowOff>
    </xdr:from>
    <xdr:ext cx="298174" cy="298174"/>
    <xdr:pic>
      <xdr:nvPicPr>
        <xdr:cNvPr id="31" name="Graphic 30" descr="Cursor outline">
          <a:hlinkClick xmlns:r="http://schemas.openxmlformats.org/officeDocument/2006/relationships" r:id="rId12"/>
          <a:extLst>
            <a:ext uri="{FF2B5EF4-FFF2-40B4-BE49-F238E27FC236}">
              <a16:creationId xmlns:a16="http://schemas.microsoft.com/office/drawing/2014/main" id="{A255A8F4-6E17-41DB-ABB2-ECC5E4B0D2C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9922435"/>
          <a:ext cx="298174" cy="298174"/>
        </a:xfrm>
        <a:prstGeom prst="rect">
          <a:avLst/>
        </a:prstGeom>
      </xdr:spPr>
    </xdr:pic>
    <xdr:clientData/>
  </xdr:oneCellAnchor>
  <xdr:oneCellAnchor>
    <xdr:from>
      <xdr:col>9</xdr:col>
      <xdr:colOff>5521</xdr:colOff>
      <xdr:row>98</xdr:row>
      <xdr:rowOff>27609</xdr:rowOff>
    </xdr:from>
    <xdr:ext cx="298174" cy="298174"/>
    <xdr:pic>
      <xdr:nvPicPr>
        <xdr:cNvPr id="32" name="Graphic 31" descr="Cursor outline">
          <a:hlinkClick xmlns:r="http://schemas.openxmlformats.org/officeDocument/2006/relationships" r:id="rId8"/>
          <a:extLst>
            <a:ext uri="{FF2B5EF4-FFF2-40B4-BE49-F238E27FC236}">
              <a16:creationId xmlns:a16="http://schemas.microsoft.com/office/drawing/2014/main" id="{D3332E5A-9720-4AFE-9783-3641725EB1E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9922435"/>
          <a:ext cx="298174" cy="298174"/>
        </a:xfrm>
        <a:prstGeom prst="rect">
          <a:avLst/>
        </a:prstGeom>
      </xdr:spPr>
    </xdr:pic>
    <xdr:clientData/>
  </xdr:oneCellAnchor>
  <xdr:oneCellAnchor>
    <xdr:from>
      <xdr:col>9</xdr:col>
      <xdr:colOff>5521</xdr:colOff>
      <xdr:row>104</xdr:row>
      <xdr:rowOff>27609</xdr:rowOff>
    </xdr:from>
    <xdr:ext cx="298174" cy="298174"/>
    <xdr:pic>
      <xdr:nvPicPr>
        <xdr:cNvPr id="36" name="Graphic 35" descr="Cursor outline">
          <a:hlinkClick xmlns:r="http://schemas.openxmlformats.org/officeDocument/2006/relationships" r:id="rId12"/>
          <a:extLst>
            <a:ext uri="{FF2B5EF4-FFF2-40B4-BE49-F238E27FC236}">
              <a16:creationId xmlns:a16="http://schemas.microsoft.com/office/drawing/2014/main" id="{F1A74765-5105-46EF-8EE8-4933C3489D2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1308392"/>
          <a:ext cx="298174" cy="298174"/>
        </a:xfrm>
        <a:prstGeom prst="rect">
          <a:avLst/>
        </a:prstGeom>
      </xdr:spPr>
    </xdr:pic>
    <xdr:clientData/>
  </xdr:oneCellAnchor>
  <xdr:oneCellAnchor>
    <xdr:from>
      <xdr:col>9</xdr:col>
      <xdr:colOff>5521</xdr:colOff>
      <xdr:row>104</xdr:row>
      <xdr:rowOff>27609</xdr:rowOff>
    </xdr:from>
    <xdr:ext cx="298174" cy="298174"/>
    <xdr:pic>
      <xdr:nvPicPr>
        <xdr:cNvPr id="37" name="Graphic 36" descr="Cursor outline">
          <a:hlinkClick xmlns:r="http://schemas.openxmlformats.org/officeDocument/2006/relationships" r:id="rId12"/>
          <a:extLst>
            <a:ext uri="{FF2B5EF4-FFF2-40B4-BE49-F238E27FC236}">
              <a16:creationId xmlns:a16="http://schemas.microsoft.com/office/drawing/2014/main" id="{DE7A8353-5BA2-47AB-9DDF-F49C56B5655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1308392"/>
          <a:ext cx="298174" cy="298174"/>
        </a:xfrm>
        <a:prstGeom prst="rect">
          <a:avLst/>
        </a:prstGeom>
      </xdr:spPr>
    </xdr:pic>
    <xdr:clientData/>
  </xdr:oneCellAnchor>
  <xdr:oneCellAnchor>
    <xdr:from>
      <xdr:col>9</xdr:col>
      <xdr:colOff>5521</xdr:colOff>
      <xdr:row>110</xdr:row>
      <xdr:rowOff>27609</xdr:rowOff>
    </xdr:from>
    <xdr:ext cx="298174" cy="298174"/>
    <xdr:pic>
      <xdr:nvPicPr>
        <xdr:cNvPr id="39" name="Graphic 38" descr="Cursor outline">
          <a:hlinkClick xmlns:r="http://schemas.openxmlformats.org/officeDocument/2006/relationships" r:id="rId12"/>
          <a:extLst>
            <a:ext uri="{FF2B5EF4-FFF2-40B4-BE49-F238E27FC236}">
              <a16:creationId xmlns:a16="http://schemas.microsoft.com/office/drawing/2014/main" id="{5C612D0B-A091-4F3C-B693-F6EA41924C6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2694348"/>
          <a:ext cx="298174" cy="298174"/>
        </a:xfrm>
        <a:prstGeom prst="rect">
          <a:avLst/>
        </a:prstGeom>
      </xdr:spPr>
    </xdr:pic>
    <xdr:clientData/>
  </xdr:oneCellAnchor>
  <xdr:oneCellAnchor>
    <xdr:from>
      <xdr:col>9</xdr:col>
      <xdr:colOff>5521</xdr:colOff>
      <xdr:row>110</xdr:row>
      <xdr:rowOff>27609</xdr:rowOff>
    </xdr:from>
    <xdr:ext cx="298174" cy="298174"/>
    <xdr:pic>
      <xdr:nvPicPr>
        <xdr:cNvPr id="40" name="Graphic 39" descr="Cursor outline">
          <a:hlinkClick xmlns:r="http://schemas.openxmlformats.org/officeDocument/2006/relationships" r:id="rId8"/>
          <a:extLst>
            <a:ext uri="{FF2B5EF4-FFF2-40B4-BE49-F238E27FC236}">
              <a16:creationId xmlns:a16="http://schemas.microsoft.com/office/drawing/2014/main" id="{2AA5999D-0508-4031-9F3C-B14B6917485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2694348"/>
          <a:ext cx="298174" cy="298174"/>
        </a:xfrm>
        <a:prstGeom prst="rect">
          <a:avLst/>
        </a:prstGeom>
      </xdr:spPr>
    </xdr:pic>
    <xdr:clientData/>
  </xdr:oneCellAnchor>
  <xdr:oneCellAnchor>
    <xdr:from>
      <xdr:col>9</xdr:col>
      <xdr:colOff>5521</xdr:colOff>
      <xdr:row>116</xdr:row>
      <xdr:rowOff>27609</xdr:rowOff>
    </xdr:from>
    <xdr:ext cx="298174" cy="298174"/>
    <xdr:pic>
      <xdr:nvPicPr>
        <xdr:cNvPr id="41" name="Graphic 40" descr="Cursor outline">
          <a:hlinkClick xmlns:r="http://schemas.openxmlformats.org/officeDocument/2006/relationships" r:id="rId12"/>
          <a:extLst>
            <a:ext uri="{FF2B5EF4-FFF2-40B4-BE49-F238E27FC236}">
              <a16:creationId xmlns:a16="http://schemas.microsoft.com/office/drawing/2014/main" id="{D2179994-FC5F-4AE6-8BA4-3EB7AD2534F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4080305"/>
          <a:ext cx="298174" cy="298174"/>
        </a:xfrm>
        <a:prstGeom prst="rect">
          <a:avLst/>
        </a:prstGeom>
      </xdr:spPr>
    </xdr:pic>
    <xdr:clientData/>
  </xdr:oneCellAnchor>
  <xdr:oneCellAnchor>
    <xdr:from>
      <xdr:col>9</xdr:col>
      <xdr:colOff>5521</xdr:colOff>
      <xdr:row>116</xdr:row>
      <xdr:rowOff>27609</xdr:rowOff>
    </xdr:from>
    <xdr:ext cx="298174" cy="298174"/>
    <xdr:pic>
      <xdr:nvPicPr>
        <xdr:cNvPr id="42" name="Graphic 41" descr="Cursor outline">
          <a:hlinkClick xmlns:r="http://schemas.openxmlformats.org/officeDocument/2006/relationships" r:id="rId8"/>
          <a:extLst>
            <a:ext uri="{FF2B5EF4-FFF2-40B4-BE49-F238E27FC236}">
              <a16:creationId xmlns:a16="http://schemas.microsoft.com/office/drawing/2014/main" id="{9519AC6C-FFBD-4238-BB0F-5592F7D98A0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4080305"/>
          <a:ext cx="298174" cy="298174"/>
        </a:xfrm>
        <a:prstGeom prst="rect">
          <a:avLst/>
        </a:prstGeom>
      </xdr:spPr>
    </xdr:pic>
    <xdr:clientData/>
  </xdr:oneCellAnchor>
  <xdr:oneCellAnchor>
    <xdr:from>
      <xdr:col>9</xdr:col>
      <xdr:colOff>5521</xdr:colOff>
      <xdr:row>122</xdr:row>
      <xdr:rowOff>27609</xdr:rowOff>
    </xdr:from>
    <xdr:ext cx="298174" cy="298174"/>
    <xdr:pic>
      <xdr:nvPicPr>
        <xdr:cNvPr id="43" name="Graphic 42" descr="Cursor outline">
          <a:hlinkClick xmlns:r="http://schemas.openxmlformats.org/officeDocument/2006/relationships" r:id="rId12"/>
          <a:extLst>
            <a:ext uri="{FF2B5EF4-FFF2-40B4-BE49-F238E27FC236}">
              <a16:creationId xmlns:a16="http://schemas.microsoft.com/office/drawing/2014/main" id="{7F4E7C29-7D45-42FE-80DD-5D980B444F1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5466261"/>
          <a:ext cx="298174" cy="298174"/>
        </a:xfrm>
        <a:prstGeom prst="rect">
          <a:avLst/>
        </a:prstGeom>
      </xdr:spPr>
    </xdr:pic>
    <xdr:clientData/>
  </xdr:oneCellAnchor>
  <xdr:oneCellAnchor>
    <xdr:from>
      <xdr:col>9</xdr:col>
      <xdr:colOff>5521</xdr:colOff>
      <xdr:row>122</xdr:row>
      <xdr:rowOff>27609</xdr:rowOff>
    </xdr:from>
    <xdr:ext cx="298174" cy="298174"/>
    <xdr:pic>
      <xdr:nvPicPr>
        <xdr:cNvPr id="44" name="Graphic 43" descr="Cursor outline">
          <a:hlinkClick xmlns:r="http://schemas.openxmlformats.org/officeDocument/2006/relationships" r:id="rId13"/>
          <a:extLst>
            <a:ext uri="{FF2B5EF4-FFF2-40B4-BE49-F238E27FC236}">
              <a16:creationId xmlns:a16="http://schemas.microsoft.com/office/drawing/2014/main" id="{A5E52EC8-FE77-4037-BF73-E00C9191DE4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5466261"/>
          <a:ext cx="298174" cy="298174"/>
        </a:xfrm>
        <a:prstGeom prst="rect">
          <a:avLst/>
        </a:prstGeom>
      </xdr:spPr>
    </xdr:pic>
    <xdr:clientData/>
  </xdr:oneCellAnchor>
  <xdr:oneCellAnchor>
    <xdr:from>
      <xdr:col>9</xdr:col>
      <xdr:colOff>5521</xdr:colOff>
      <xdr:row>130</xdr:row>
      <xdr:rowOff>27609</xdr:rowOff>
    </xdr:from>
    <xdr:ext cx="298174" cy="298174"/>
    <xdr:pic>
      <xdr:nvPicPr>
        <xdr:cNvPr id="45" name="Graphic 44" descr="Cursor outline">
          <a:hlinkClick xmlns:r="http://schemas.openxmlformats.org/officeDocument/2006/relationships" r:id="rId12"/>
          <a:extLst>
            <a:ext uri="{FF2B5EF4-FFF2-40B4-BE49-F238E27FC236}">
              <a16:creationId xmlns:a16="http://schemas.microsoft.com/office/drawing/2014/main" id="{ACD5056C-1C3A-4AF6-BC9E-EB9D1FE88E9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6852218"/>
          <a:ext cx="298174" cy="298174"/>
        </a:xfrm>
        <a:prstGeom prst="rect">
          <a:avLst/>
        </a:prstGeom>
      </xdr:spPr>
    </xdr:pic>
    <xdr:clientData/>
  </xdr:oneCellAnchor>
  <xdr:oneCellAnchor>
    <xdr:from>
      <xdr:col>9</xdr:col>
      <xdr:colOff>5521</xdr:colOff>
      <xdr:row>130</xdr:row>
      <xdr:rowOff>27609</xdr:rowOff>
    </xdr:from>
    <xdr:ext cx="298174" cy="298174"/>
    <xdr:pic>
      <xdr:nvPicPr>
        <xdr:cNvPr id="46" name="Graphic 45" descr="Cursor outline">
          <a:hlinkClick xmlns:r="http://schemas.openxmlformats.org/officeDocument/2006/relationships" r:id="rId14"/>
          <a:extLst>
            <a:ext uri="{FF2B5EF4-FFF2-40B4-BE49-F238E27FC236}">
              <a16:creationId xmlns:a16="http://schemas.microsoft.com/office/drawing/2014/main" id="{C149FB3E-0C3B-4199-938C-4F88D7182E7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6852218"/>
          <a:ext cx="298174" cy="298174"/>
        </a:xfrm>
        <a:prstGeom prst="rect">
          <a:avLst/>
        </a:prstGeom>
      </xdr:spPr>
    </xdr:pic>
    <xdr:clientData/>
  </xdr:oneCellAnchor>
  <xdr:oneCellAnchor>
    <xdr:from>
      <xdr:col>9</xdr:col>
      <xdr:colOff>5521</xdr:colOff>
      <xdr:row>136</xdr:row>
      <xdr:rowOff>27609</xdr:rowOff>
    </xdr:from>
    <xdr:ext cx="298174" cy="298174"/>
    <xdr:pic>
      <xdr:nvPicPr>
        <xdr:cNvPr id="47" name="Graphic 46" descr="Cursor outline">
          <a:hlinkClick xmlns:r="http://schemas.openxmlformats.org/officeDocument/2006/relationships" r:id="rId12"/>
          <a:extLst>
            <a:ext uri="{FF2B5EF4-FFF2-40B4-BE49-F238E27FC236}">
              <a16:creationId xmlns:a16="http://schemas.microsoft.com/office/drawing/2014/main" id="{283A4629-331D-4A5F-9623-5282A08F7B4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8812435"/>
          <a:ext cx="298174" cy="298174"/>
        </a:xfrm>
        <a:prstGeom prst="rect">
          <a:avLst/>
        </a:prstGeom>
      </xdr:spPr>
    </xdr:pic>
    <xdr:clientData/>
  </xdr:oneCellAnchor>
  <xdr:oneCellAnchor>
    <xdr:from>
      <xdr:col>9</xdr:col>
      <xdr:colOff>5521</xdr:colOff>
      <xdr:row>136</xdr:row>
      <xdr:rowOff>27609</xdr:rowOff>
    </xdr:from>
    <xdr:ext cx="298174" cy="298174"/>
    <xdr:pic>
      <xdr:nvPicPr>
        <xdr:cNvPr id="48" name="Graphic 47" descr="Cursor outline">
          <a:hlinkClick xmlns:r="http://schemas.openxmlformats.org/officeDocument/2006/relationships" r:id="rId14"/>
          <a:extLst>
            <a:ext uri="{FF2B5EF4-FFF2-40B4-BE49-F238E27FC236}">
              <a16:creationId xmlns:a16="http://schemas.microsoft.com/office/drawing/2014/main" id="{E5842867-3160-438C-849D-49D2DEB4B39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8812435"/>
          <a:ext cx="298174" cy="298174"/>
        </a:xfrm>
        <a:prstGeom prst="rect">
          <a:avLst/>
        </a:prstGeom>
      </xdr:spPr>
    </xdr:pic>
    <xdr:clientData/>
  </xdr:oneCellAnchor>
  <xdr:oneCellAnchor>
    <xdr:from>
      <xdr:col>9</xdr:col>
      <xdr:colOff>5521</xdr:colOff>
      <xdr:row>143</xdr:row>
      <xdr:rowOff>27609</xdr:rowOff>
    </xdr:from>
    <xdr:ext cx="298174" cy="298174"/>
    <xdr:pic>
      <xdr:nvPicPr>
        <xdr:cNvPr id="49" name="Graphic 48" descr="Cursor outline">
          <a:hlinkClick xmlns:r="http://schemas.openxmlformats.org/officeDocument/2006/relationships" r:id="rId12"/>
          <a:extLst>
            <a:ext uri="{FF2B5EF4-FFF2-40B4-BE49-F238E27FC236}">
              <a16:creationId xmlns:a16="http://schemas.microsoft.com/office/drawing/2014/main" id="{3FA341AB-81FD-4F47-8C2E-5A038DEA12A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8812435"/>
          <a:ext cx="298174" cy="298174"/>
        </a:xfrm>
        <a:prstGeom prst="rect">
          <a:avLst/>
        </a:prstGeom>
      </xdr:spPr>
    </xdr:pic>
    <xdr:clientData/>
  </xdr:oneCellAnchor>
  <xdr:oneCellAnchor>
    <xdr:from>
      <xdr:col>9</xdr:col>
      <xdr:colOff>5521</xdr:colOff>
      <xdr:row>143</xdr:row>
      <xdr:rowOff>27609</xdr:rowOff>
    </xdr:from>
    <xdr:ext cx="298174" cy="298174"/>
    <xdr:pic>
      <xdr:nvPicPr>
        <xdr:cNvPr id="50" name="Graphic 49" descr="Cursor outline">
          <a:hlinkClick xmlns:r="http://schemas.openxmlformats.org/officeDocument/2006/relationships" r:id="rId15"/>
          <a:extLst>
            <a:ext uri="{FF2B5EF4-FFF2-40B4-BE49-F238E27FC236}">
              <a16:creationId xmlns:a16="http://schemas.microsoft.com/office/drawing/2014/main" id="{17391645-57C6-4F86-953A-73F090147B8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28812435"/>
          <a:ext cx="298174" cy="298174"/>
        </a:xfrm>
        <a:prstGeom prst="rect">
          <a:avLst/>
        </a:prstGeom>
      </xdr:spPr>
    </xdr:pic>
    <xdr:clientData/>
  </xdr:oneCellAnchor>
  <xdr:oneCellAnchor>
    <xdr:from>
      <xdr:col>9</xdr:col>
      <xdr:colOff>5521</xdr:colOff>
      <xdr:row>149</xdr:row>
      <xdr:rowOff>27609</xdr:rowOff>
    </xdr:from>
    <xdr:ext cx="298174" cy="298174"/>
    <xdr:pic>
      <xdr:nvPicPr>
        <xdr:cNvPr id="51" name="Graphic 50" descr="Cursor outline">
          <a:hlinkClick xmlns:r="http://schemas.openxmlformats.org/officeDocument/2006/relationships" r:id="rId12"/>
          <a:extLst>
            <a:ext uri="{FF2B5EF4-FFF2-40B4-BE49-F238E27FC236}">
              <a16:creationId xmlns:a16="http://schemas.microsoft.com/office/drawing/2014/main" id="{31AD1AFD-A4FF-481E-A9FD-ECF51FFFE2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1948783"/>
          <a:ext cx="298174" cy="298174"/>
        </a:xfrm>
        <a:prstGeom prst="rect">
          <a:avLst/>
        </a:prstGeom>
      </xdr:spPr>
    </xdr:pic>
    <xdr:clientData/>
  </xdr:oneCellAnchor>
  <xdr:oneCellAnchor>
    <xdr:from>
      <xdr:col>9</xdr:col>
      <xdr:colOff>5521</xdr:colOff>
      <xdr:row>149</xdr:row>
      <xdr:rowOff>27609</xdr:rowOff>
    </xdr:from>
    <xdr:ext cx="298174" cy="298174"/>
    <xdr:pic>
      <xdr:nvPicPr>
        <xdr:cNvPr id="52" name="Graphic 51" descr="Cursor outline">
          <a:hlinkClick xmlns:r="http://schemas.openxmlformats.org/officeDocument/2006/relationships" r:id="rId16"/>
          <a:extLst>
            <a:ext uri="{FF2B5EF4-FFF2-40B4-BE49-F238E27FC236}">
              <a16:creationId xmlns:a16="http://schemas.microsoft.com/office/drawing/2014/main" id="{A196CDB6-940A-47EB-A178-78793485E73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1948783"/>
          <a:ext cx="298174" cy="298174"/>
        </a:xfrm>
        <a:prstGeom prst="rect">
          <a:avLst/>
        </a:prstGeom>
      </xdr:spPr>
    </xdr:pic>
    <xdr:clientData/>
  </xdr:oneCellAnchor>
  <xdr:oneCellAnchor>
    <xdr:from>
      <xdr:col>9</xdr:col>
      <xdr:colOff>5521</xdr:colOff>
      <xdr:row>190</xdr:row>
      <xdr:rowOff>27609</xdr:rowOff>
    </xdr:from>
    <xdr:ext cx="298174" cy="298174"/>
    <xdr:pic>
      <xdr:nvPicPr>
        <xdr:cNvPr id="53" name="Graphic 52" descr="Cursor outline">
          <a:hlinkClick xmlns:r="http://schemas.openxmlformats.org/officeDocument/2006/relationships" r:id="rId12"/>
          <a:extLst>
            <a:ext uri="{FF2B5EF4-FFF2-40B4-BE49-F238E27FC236}">
              <a16:creationId xmlns:a16="http://schemas.microsoft.com/office/drawing/2014/main" id="{DB692025-E501-4A17-9406-BEA7FE45B34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3334739"/>
          <a:ext cx="298174" cy="298174"/>
        </a:xfrm>
        <a:prstGeom prst="rect">
          <a:avLst/>
        </a:prstGeom>
      </xdr:spPr>
    </xdr:pic>
    <xdr:clientData/>
  </xdr:oneCellAnchor>
  <xdr:oneCellAnchor>
    <xdr:from>
      <xdr:col>9</xdr:col>
      <xdr:colOff>5521</xdr:colOff>
      <xdr:row>190</xdr:row>
      <xdr:rowOff>27609</xdr:rowOff>
    </xdr:from>
    <xdr:ext cx="298174" cy="298174"/>
    <xdr:pic>
      <xdr:nvPicPr>
        <xdr:cNvPr id="54" name="Graphic 53" descr="Cursor outline">
          <a:hlinkClick xmlns:r="http://schemas.openxmlformats.org/officeDocument/2006/relationships" r:id="rId16"/>
          <a:extLst>
            <a:ext uri="{FF2B5EF4-FFF2-40B4-BE49-F238E27FC236}">
              <a16:creationId xmlns:a16="http://schemas.microsoft.com/office/drawing/2014/main" id="{379E21F9-48E6-4902-9756-6E8934A1F05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3334739"/>
          <a:ext cx="298174" cy="298174"/>
        </a:xfrm>
        <a:prstGeom prst="rect">
          <a:avLst/>
        </a:prstGeom>
      </xdr:spPr>
    </xdr:pic>
    <xdr:clientData/>
  </xdr:oneCellAnchor>
  <xdr:oneCellAnchor>
    <xdr:from>
      <xdr:col>9</xdr:col>
      <xdr:colOff>5521</xdr:colOff>
      <xdr:row>196</xdr:row>
      <xdr:rowOff>27609</xdr:rowOff>
    </xdr:from>
    <xdr:ext cx="298174" cy="298174"/>
    <xdr:pic>
      <xdr:nvPicPr>
        <xdr:cNvPr id="55" name="Graphic 54" descr="Cursor outline">
          <a:hlinkClick xmlns:r="http://schemas.openxmlformats.org/officeDocument/2006/relationships" r:id="rId12"/>
          <a:extLst>
            <a:ext uri="{FF2B5EF4-FFF2-40B4-BE49-F238E27FC236}">
              <a16:creationId xmlns:a16="http://schemas.microsoft.com/office/drawing/2014/main" id="{3E9F754B-08CA-4A2F-941F-372AA90E19B1}"/>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2953609"/>
          <a:ext cx="298174" cy="298174"/>
        </a:xfrm>
        <a:prstGeom prst="rect">
          <a:avLst/>
        </a:prstGeom>
      </xdr:spPr>
    </xdr:pic>
    <xdr:clientData/>
  </xdr:oneCellAnchor>
  <xdr:oneCellAnchor>
    <xdr:from>
      <xdr:col>9</xdr:col>
      <xdr:colOff>5521</xdr:colOff>
      <xdr:row>196</xdr:row>
      <xdr:rowOff>27609</xdr:rowOff>
    </xdr:from>
    <xdr:ext cx="298174" cy="298174"/>
    <xdr:pic>
      <xdr:nvPicPr>
        <xdr:cNvPr id="56" name="Graphic 55" descr="Cursor outline">
          <a:hlinkClick xmlns:r="http://schemas.openxmlformats.org/officeDocument/2006/relationships" r:id="rId10"/>
          <a:extLst>
            <a:ext uri="{FF2B5EF4-FFF2-40B4-BE49-F238E27FC236}">
              <a16:creationId xmlns:a16="http://schemas.microsoft.com/office/drawing/2014/main" id="{67161E8B-F24E-4D6D-9490-013AF72C450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2953609"/>
          <a:ext cx="298174" cy="298174"/>
        </a:xfrm>
        <a:prstGeom prst="rect">
          <a:avLst/>
        </a:prstGeom>
      </xdr:spPr>
    </xdr:pic>
    <xdr:clientData/>
  </xdr:oneCellAnchor>
  <xdr:oneCellAnchor>
    <xdr:from>
      <xdr:col>9</xdr:col>
      <xdr:colOff>5521</xdr:colOff>
      <xdr:row>155</xdr:row>
      <xdr:rowOff>27609</xdr:rowOff>
    </xdr:from>
    <xdr:ext cx="298174" cy="298174"/>
    <xdr:pic>
      <xdr:nvPicPr>
        <xdr:cNvPr id="57" name="Graphic 56" descr="Cursor outline">
          <a:hlinkClick xmlns:r="http://schemas.openxmlformats.org/officeDocument/2006/relationships" r:id="rId12"/>
          <a:extLst>
            <a:ext uri="{FF2B5EF4-FFF2-40B4-BE49-F238E27FC236}">
              <a16:creationId xmlns:a16="http://schemas.microsoft.com/office/drawing/2014/main" id="{EDD50036-7C94-475C-8443-44B462D645C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3334739"/>
          <a:ext cx="298174" cy="298174"/>
        </a:xfrm>
        <a:prstGeom prst="rect">
          <a:avLst/>
        </a:prstGeom>
      </xdr:spPr>
    </xdr:pic>
    <xdr:clientData/>
  </xdr:oneCellAnchor>
  <xdr:oneCellAnchor>
    <xdr:from>
      <xdr:col>9</xdr:col>
      <xdr:colOff>5521</xdr:colOff>
      <xdr:row>155</xdr:row>
      <xdr:rowOff>27609</xdr:rowOff>
    </xdr:from>
    <xdr:ext cx="298174" cy="298174"/>
    <xdr:pic>
      <xdr:nvPicPr>
        <xdr:cNvPr id="58" name="Graphic 57" descr="Cursor outline">
          <a:hlinkClick xmlns:r="http://schemas.openxmlformats.org/officeDocument/2006/relationships" r:id="rId12"/>
          <a:extLst>
            <a:ext uri="{FF2B5EF4-FFF2-40B4-BE49-F238E27FC236}">
              <a16:creationId xmlns:a16="http://schemas.microsoft.com/office/drawing/2014/main" id="{6DF9B4F1-D178-451E-BF55-129E7A80412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3334739"/>
          <a:ext cx="298174" cy="298174"/>
        </a:xfrm>
        <a:prstGeom prst="rect">
          <a:avLst/>
        </a:prstGeom>
      </xdr:spPr>
    </xdr:pic>
    <xdr:clientData/>
  </xdr:oneCellAnchor>
  <xdr:oneCellAnchor>
    <xdr:from>
      <xdr:col>9</xdr:col>
      <xdr:colOff>5521</xdr:colOff>
      <xdr:row>162</xdr:row>
      <xdr:rowOff>27609</xdr:rowOff>
    </xdr:from>
    <xdr:ext cx="298174" cy="298174"/>
    <xdr:pic>
      <xdr:nvPicPr>
        <xdr:cNvPr id="59" name="Graphic 58" descr="Cursor outline">
          <a:hlinkClick xmlns:r="http://schemas.openxmlformats.org/officeDocument/2006/relationships" r:id="rId12"/>
          <a:extLst>
            <a:ext uri="{FF2B5EF4-FFF2-40B4-BE49-F238E27FC236}">
              <a16:creationId xmlns:a16="http://schemas.microsoft.com/office/drawing/2014/main" id="{49035137-5871-4E7A-965B-1E96E329025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4720696"/>
          <a:ext cx="298174" cy="298174"/>
        </a:xfrm>
        <a:prstGeom prst="rect">
          <a:avLst/>
        </a:prstGeom>
      </xdr:spPr>
    </xdr:pic>
    <xdr:clientData/>
  </xdr:oneCellAnchor>
  <xdr:oneCellAnchor>
    <xdr:from>
      <xdr:col>9</xdr:col>
      <xdr:colOff>5521</xdr:colOff>
      <xdr:row>162</xdr:row>
      <xdr:rowOff>27609</xdr:rowOff>
    </xdr:from>
    <xdr:ext cx="298174" cy="298174"/>
    <xdr:pic>
      <xdr:nvPicPr>
        <xdr:cNvPr id="60" name="Graphic 59" descr="Cursor outline">
          <a:hlinkClick xmlns:r="http://schemas.openxmlformats.org/officeDocument/2006/relationships" r:id="rId17"/>
          <a:extLst>
            <a:ext uri="{FF2B5EF4-FFF2-40B4-BE49-F238E27FC236}">
              <a16:creationId xmlns:a16="http://schemas.microsoft.com/office/drawing/2014/main" id="{209C48C4-4005-459F-89B0-EACE3CF2862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4720696"/>
          <a:ext cx="298174" cy="298174"/>
        </a:xfrm>
        <a:prstGeom prst="rect">
          <a:avLst/>
        </a:prstGeom>
      </xdr:spPr>
    </xdr:pic>
    <xdr:clientData/>
  </xdr:oneCellAnchor>
  <xdr:oneCellAnchor>
    <xdr:from>
      <xdr:col>9</xdr:col>
      <xdr:colOff>5521</xdr:colOff>
      <xdr:row>274</xdr:row>
      <xdr:rowOff>27609</xdr:rowOff>
    </xdr:from>
    <xdr:ext cx="298174" cy="298174"/>
    <xdr:pic>
      <xdr:nvPicPr>
        <xdr:cNvPr id="61" name="Graphic 60" descr="Cursor outline">
          <a:hlinkClick xmlns:r="http://schemas.openxmlformats.org/officeDocument/2006/relationships" r:id="rId12"/>
          <a:extLst>
            <a:ext uri="{FF2B5EF4-FFF2-40B4-BE49-F238E27FC236}">
              <a16:creationId xmlns:a16="http://schemas.microsoft.com/office/drawing/2014/main" id="{A4210B44-7AB6-41C7-A0C3-EB43D5F4EB3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6471087"/>
          <a:ext cx="298174" cy="298174"/>
        </a:xfrm>
        <a:prstGeom prst="rect">
          <a:avLst/>
        </a:prstGeom>
      </xdr:spPr>
    </xdr:pic>
    <xdr:clientData/>
  </xdr:oneCellAnchor>
  <xdr:oneCellAnchor>
    <xdr:from>
      <xdr:col>9</xdr:col>
      <xdr:colOff>5521</xdr:colOff>
      <xdr:row>274</xdr:row>
      <xdr:rowOff>27609</xdr:rowOff>
    </xdr:from>
    <xdr:ext cx="298174" cy="298174"/>
    <xdr:pic>
      <xdr:nvPicPr>
        <xdr:cNvPr id="62" name="Graphic 61" descr="Cursor outline">
          <a:hlinkClick xmlns:r="http://schemas.openxmlformats.org/officeDocument/2006/relationships" r:id="rId17"/>
          <a:extLst>
            <a:ext uri="{FF2B5EF4-FFF2-40B4-BE49-F238E27FC236}">
              <a16:creationId xmlns:a16="http://schemas.microsoft.com/office/drawing/2014/main" id="{8873C3FD-336E-4B0E-BA2A-CE68AF2B6DB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6471087"/>
          <a:ext cx="298174" cy="298174"/>
        </a:xfrm>
        <a:prstGeom prst="rect">
          <a:avLst/>
        </a:prstGeom>
      </xdr:spPr>
    </xdr:pic>
    <xdr:clientData/>
  </xdr:oneCellAnchor>
  <xdr:oneCellAnchor>
    <xdr:from>
      <xdr:col>9</xdr:col>
      <xdr:colOff>5521</xdr:colOff>
      <xdr:row>172</xdr:row>
      <xdr:rowOff>27609</xdr:rowOff>
    </xdr:from>
    <xdr:ext cx="298174" cy="298174"/>
    <xdr:pic>
      <xdr:nvPicPr>
        <xdr:cNvPr id="63" name="Graphic 62" descr="Cursor outline">
          <a:hlinkClick xmlns:r="http://schemas.openxmlformats.org/officeDocument/2006/relationships" r:id="rId12"/>
          <a:extLst>
            <a:ext uri="{FF2B5EF4-FFF2-40B4-BE49-F238E27FC236}">
              <a16:creationId xmlns:a16="http://schemas.microsoft.com/office/drawing/2014/main" id="{C80C8DE2-5690-4445-BF5D-5C229A3B5A6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6471087"/>
          <a:ext cx="298174" cy="298174"/>
        </a:xfrm>
        <a:prstGeom prst="rect">
          <a:avLst/>
        </a:prstGeom>
      </xdr:spPr>
    </xdr:pic>
    <xdr:clientData/>
  </xdr:oneCellAnchor>
  <xdr:oneCellAnchor>
    <xdr:from>
      <xdr:col>9</xdr:col>
      <xdr:colOff>5521</xdr:colOff>
      <xdr:row>172</xdr:row>
      <xdr:rowOff>27609</xdr:rowOff>
    </xdr:from>
    <xdr:ext cx="298174" cy="298174"/>
    <xdr:pic>
      <xdr:nvPicPr>
        <xdr:cNvPr id="64" name="Graphic 63" descr="Cursor outline">
          <a:hlinkClick xmlns:r="http://schemas.openxmlformats.org/officeDocument/2006/relationships" r:id="rId18"/>
          <a:extLst>
            <a:ext uri="{FF2B5EF4-FFF2-40B4-BE49-F238E27FC236}">
              <a16:creationId xmlns:a16="http://schemas.microsoft.com/office/drawing/2014/main" id="{D25CC857-4367-4942-A523-9C80529C2E8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6471087"/>
          <a:ext cx="298174" cy="298174"/>
        </a:xfrm>
        <a:prstGeom prst="rect">
          <a:avLst/>
        </a:prstGeom>
      </xdr:spPr>
    </xdr:pic>
    <xdr:clientData/>
  </xdr:oneCellAnchor>
  <xdr:oneCellAnchor>
    <xdr:from>
      <xdr:col>9</xdr:col>
      <xdr:colOff>5521</xdr:colOff>
      <xdr:row>178</xdr:row>
      <xdr:rowOff>27609</xdr:rowOff>
    </xdr:from>
    <xdr:ext cx="298174" cy="298174"/>
    <xdr:pic>
      <xdr:nvPicPr>
        <xdr:cNvPr id="65" name="Graphic 64" descr="Cursor outline">
          <a:hlinkClick xmlns:r="http://schemas.openxmlformats.org/officeDocument/2006/relationships" r:id="rId12"/>
          <a:extLst>
            <a:ext uri="{FF2B5EF4-FFF2-40B4-BE49-F238E27FC236}">
              <a16:creationId xmlns:a16="http://schemas.microsoft.com/office/drawing/2014/main" id="{43AE0096-3893-4539-A30D-6BF754265B3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8795739"/>
          <a:ext cx="298174" cy="298174"/>
        </a:xfrm>
        <a:prstGeom prst="rect">
          <a:avLst/>
        </a:prstGeom>
      </xdr:spPr>
    </xdr:pic>
    <xdr:clientData/>
  </xdr:oneCellAnchor>
  <xdr:oneCellAnchor>
    <xdr:from>
      <xdr:col>9</xdr:col>
      <xdr:colOff>5521</xdr:colOff>
      <xdr:row>178</xdr:row>
      <xdr:rowOff>27609</xdr:rowOff>
    </xdr:from>
    <xdr:ext cx="298174" cy="298174"/>
    <xdr:pic>
      <xdr:nvPicPr>
        <xdr:cNvPr id="66" name="Graphic 65" descr="Cursor outline">
          <a:hlinkClick xmlns:r="http://schemas.openxmlformats.org/officeDocument/2006/relationships" r:id="rId19"/>
          <a:extLst>
            <a:ext uri="{FF2B5EF4-FFF2-40B4-BE49-F238E27FC236}">
              <a16:creationId xmlns:a16="http://schemas.microsoft.com/office/drawing/2014/main" id="{FB51C037-BEED-420D-B173-BF340BEC09B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38795739"/>
          <a:ext cx="298174" cy="298174"/>
        </a:xfrm>
        <a:prstGeom prst="rect">
          <a:avLst/>
        </a:prstGeom>
      </xdr:spPr>
    </xdr:pic>
    <xdr:clientData/>
  </xdr:oneCellAnchor>
  <xdr:oneCellAnchor>
    <xdr:from>
      <xdr:col>9</xdr:col>
      <xdr:colOff>5521</xdr:colOff>
      <xdr:row>184</xdr:row>
      <xdr:rowOff>27609</xdr:rowOff>
    </xdr:from>
    <xdr:ext cx="298174" cy="298174"/>
    <xdr:pic>
      <xdr:nvPicPr>
        <xdr:cNvPr id="67" name="Graphic 66" descr="Cursor outline">
          <a:hlinkClick xmlns:r="http://schemas.openxmlformats.org/officeDocument/2006/relationships" r:id="rId12"/>
          <a:extLst>
            <a:ext uri="{FF2B5EF4-FFF2-40B4-BE49-F238E27FC236}">
              <a16:creationId xmlns:a16="http://schemas.microsoft.com/office/drawing/2014/main" id="{A3C6385A-378F-43F0-B74C-2B000F7EC6E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0181696"/>
          <a:ext cx="298174" cy="298174"/>
        </a:xfrm>
        <a:prstGeom prst="rect">
          <a:avLst/>
        </a:prstGeom>
      </xdr:spPr>
    </xdr:pic>
    <xdr:clientData/>
  </xdr:oneCellAnchor>
  <xdr:oneCellAnchor>
    <xdr:from>
      <xdr:col>9</xdr:col>
      <xdr:colOff>5521</xdr:colOff>
      <xdr:row>184</xdr:row>
      <xdr:rowOff>27609</xdr:rowOff>
    </xdr:from>
    <xdr:ext cx="298174" cy="298174"/>
    <xdr:pic>
      <xdr:nvPicPr>
        <xdr:cNvPr id="68" name="Graphic 67" descr="Cursor outline">
          <a:hlinkClick xmlns:r="http://schemas.openxmlformats.org/officeDocument/2006/relationships" r:id="rId20"/>
          <a:extLst>
            <a:ext uri="{FF2B5EF4-FFF2-40B4-BE49-F238E27FC236}">
              <a16:creationId xmlns:a16="http://schemas.microsoft.com/office/drawing/2014/main" id="{0709FCA7-CDCA-4598-992D-36FF4328328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0181696"/>
          <a:ext cx="298174" cy="298174"/>
        </a:xfrm>
        <a:prstGeom prst="rect">
          <a:avLst/>
        </a:prstGeom>
      </xdr:spPr>
    </xdr:pic>
    <xdr:clientData/>
  </xdr:oneCellAnchor>
  <xdr:oneCellAnchor>
    <xdr:from>
      <xdr:col>9</xdr:col>
      <xdr:colOff>5521</xdr:colOff>
      <xdr:row>202</xdr:row>
      <xdr:rowOff>27609</xdr:rowOff>
    </xdr:from>
    <xdr:ext cx="298174" cy="298174"/>
    <xdr:pic>
      <xdr:nvPicPr>
        <xdr:cNvPr id="69" name="Graphic 68" descr="Cursor outline">
          <a:hlinkClick xmlns:r="http://schemas.openxmlformats.org/officeDocument/2006/relationships" r:id="rId12"/>
          <a:extLst>
            <a:ext uri="{FF2B5EF4-FFF2-40B4-BE49-F238E27FC236}">
              <a16:creationId xmlns:a16="http://schemas.microsoft.com/office/drawing/2014/main" id="{5A05C8B6-22A5-4C5D-B8BD-FE7B88C9D09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4339566"/>
          <a:ext cx="298174" cy="298174"/>
        </a:xfrm>
        <a:prstGeom prst="rect">
          <a:avLst/>
        </a:prstGeom>
      </xdr:spPr>
    </xdr:pic>
    <xdr:clientData/>
  </xdr:oneCellAnchor>
  <xdr:oneCellAnchor>
    <xdr:from>
      <xdr:col>9</xdr:col>
      <xdr:colOff>5521</xdr:colOff>
      <xdr:row>202</xdr:row>
      <xdr:rowOff>27609</xdr:rowOff>
    </xdr:from>
    <xdr:ext cx="298174" cy="298174"/>
    <xdr:pic>
      <xdr:nvPicPr>
        <xdr:cNvPr id="70" name="Graphic 69" descr="Cursor outline">
          <a:hlinkClick xmlns:r="http://schemas.openxmlformats.org/officeDocument/2006/relationships" r:id="rId14"/>
          <a:extLst>
            <a:ext uri="{FF2B5EF4-FFF2-40B4-BE49-F238E27FC236}">
              <a16:creationId xmlns:a16="http://schemas.microsoft.com/office/drawing/2014/main" id="{F80CAF22-F9F1-483E-9441-5B727322DA4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4339566"/>
          <a:ext cx="298174" cy="298174"/>
        </a:xfrm>
        <a:prstGeom prst="rect">
          <a:avLst/>
        </a:prstGeom>
      </xdr:spPr>
    </xdr:pic>
    <xdr:clientData/>
  </xdr:oneCellAnchor>
  <xdr:oneCellAnchor>
    <xdr:from>
      <xdr:col>9</xdr:col>
      <xdr:colOff>5521</xdr:colOff>
      <xdr:row>208</xdr:row>
      <xdr:rowOff>27609</xdr:rowOff>
    </xdr:from>
    <xdr:ext cx="298174" cy="298174"/>
    <xdr:pic>
      <xdr:nvPicPr>
        <xdr:cNvPr id="71" name="Graphic 70" descr="Cursor outline">
          <a:hlinkClick xmlns:r="http://schemas.openxmlformats.org/officeDocument/2006/relationships" r:id="rId12"/>
          <a:extLst>
            <a:ext uri="{FF2B5EF4-FFF2-40B4-BE49-F238E27FC236}">
              <a16:creationId xmlns:a16="http://schemas.microsoft.com/office/drawing/2014/main" id="{7F0A805E-2F2D-49B4-A0C4-87744341AA4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5725522"/>
          <a:ext cx="298174" cy="298174"/>
        </a:xfrm>
        <a:prstGeom prst="rect">
          <a:avLst/>
        </a:prstGeom>
      </xdr:spPr>
    </xdr:pic>
    <xdr:clientData/>
  </xdr:oneCellAnchor>
  <xdr:oneCellAnchor>
    <xdr:from>
      <xdr:col>9</xdr:col>
      <xdr:colOff>5521</xdr:colOff>
      <xdr:row>208</xdr:row>
      <xdr:rowOff>27609</xdr:rowOff>
    </xdr:from>
    <xdr:ext cx="298174" cy="298174"/>
    <xdr:pic>
      <xdr:nvPicPr>
        <xdr:cNvPr id="72" name="Graphic 71" descr="Cursor outline">
          <a:hlinkClick xmlns:r="http://schemas.openxmlformats.org/officeDocument/2006/relationships" r:id="rId21"/>
          <a:extLst>
            <a:ext uri="{FF2B5EF4-FFF2-40B4-BE49-F238E27FC236}">
              <a16:creationId xmlns:a16="http://schemas.microsoft.com/office/drawing/2014/main" id="{222676D8-15F2-4E4D-AE53-E7DB70A888A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5725522"/>
          <a:ext cx="298174" cy="298174"/>
        </a:xfrm>
        <a:prstGeom prst="rect">
          <a:avLst/>
        </a:prstGeom>
      </xdr:spPr>
    </xdr:pic>
    <xdr:clientData/>
  </xdr:oneCellAnchor>
  <xdr:oneCellAnchor>
    <xdr:from>
      <xdr:col>9</xdr:col>
      <xdr:colOff>5521</xdr:colOff>
      <xdr:row>217</xdr:row>
      <xdr:rowOff>27609</xdr:rowOff>
    </xdr:from>
    <xdr:ext cx="298174" cy="298174"/>
    <xdr:pic>
      <xdr:nvPicPr>
        <xdr:cNvPr id="73" name="Graphic 72" descr="Cursor outline">
          <a:hlinkClick xmlns:r="http://schemas.openxmlformats.org/officeDocument/2006/relationships" r:id="rId12"/>
          <a:extLst>
            <a:ext uri="{FF2B5EF4-FFF2-40B4-BE49-F238E27FC236}">
              <a16:creationId xmlns:a16="http://schemas.microsoft.com/office/drawing/2014/main" id="{394D5A1A-FF7A-4339-8BE2-1A037BE24E8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2953609"/>
          <a:ext cx="298174" cy="298174"/>
        </a:xfrm>
        <a:prstGeom prst="rect">
          <a:avLst/>
        </a:prstGeom>
      </xdr:spPr>
    </xdr:pic>
    <xdr:clientData/>
  </xdr:oneCellAnchor>
  <xdr:oneCellAnchor>
    <xdr:from>
      <xdr:col>9</xdr:col>
      <xdr:colOff>5521</xdr:colOff>
      <xdr:row>217</xdr:row>
      <xdr:rowOff>27609</xdr:rowOff>
    </xdr:from>
    <xdr:ext cx="298174" cy="298174"/>
    <xdr:pic>
      <xdr:nvPicPr>
        <xdr:cNvPr id="74" name="Graphic 73" descr="Cursor outline">
          <a:hlinkClick xmlns:r="http://schemas.openxmlformats.org/officeDocument/2006/relationships" r:id="rId10"/>
          <a:extLst>
            <a:ext uri="{FF2B5EF4-FFF2-40B4-BE49-F238E27FC236}">
              <a16:creationId xmlns:a16="http://schemas.microsoft.com/office/drawing/2014/main" id="{D09FF5C5-FDD4-4415-84E2-E68758E60AF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2953609"/>
          <a:ext cx="298174" cy="298174"/>
        </a:xfrm>
        <a:prstGeom prst="rect">
          <a:avLst/>
        </a:prstGeom>
      </xdr:spPr>
    </xdr:pic>
    <xdr:clientData/>
  </xdr:oneCellAnchor>
  <xdr:oneCellAnchor>
    <xdr:from>
      <xdr:col>9</xdr:col>
      <xdr:colOff>5521</xdr:colOff>
      <xdr:row>223</xdr:row>
      <xdr:rowOff>27609</xdr:rowOff>
    </xdr:from>
    <xdr:ext cx="298174" cy="298174"/>
    <xdr:pic>
      <xdr:nvPicPr>
        <xdr:cNvPr id="75" name="Graphic 74" descr="Cursor outline">
          <a:hlinkClick xmlns:r="http://schemas.openxmlformats.org/officeDocument/2006/relationships" r:id="rId12"/>
          <a:extLst>
            <a:ext uri="{FF2B5EF4-FFF2-40B4-BE49-F238E27FC236}">
              <a16:creationId xmlns:a16="http://schemas.microsoft.com/office/drawing/2014/main" id="{3D9AC9FA-0550-4155-BDCA-25586D59130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9253913"/>
          <a:ext cx="298174" cy="298174"/>
        </a:xfrm>
        <a:prstGeom prst="rect">
          <a:avLst/>
        </a:prstGeom>
      </xdr:spPr>
    </xdr:pic>
    <xdr:clientData/>
  </xdr:oneCellAnchor>
  <xdr:oneCellAnchor>
    <xdr:from>
      <xdr:col>9</xdr:col>
      <xdr:colOff>5521</xdr:colOff>
      <xdr:row>223</xdr:row>
      <xdr:rowOff>27609</xdr:rowOff>
    </xdr:from>
    <xdr:ext cx="298174" cy="298174"/>
    <xdr:pic>
      <xdr:nvPicPr>
        <xdr:cNvPr id="76" name="Graphic 75" descr="Cursor outline">
          <a:hlinkClick xmlns:r="http://schemas.openxmlformats.org/officeDocument/2006/relationships" r:id="rId14"/>
          <a:extLst>
            <a:ext uri="{FF2B5EF4-FFF2-40B4-BE49-F238E27FC236}">
              <a16:creationId xmlns:a16="http://schemas.microsoft.com/office/drawing/2014/main" id="{17A7947B-B98D-46D5-BA37-524991C6E8E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49253913"/>
          <a:ext cx="298174" cy="298174"/>
        </a:xfrm>
        <a:prstGeom prst="rect">
          <a:avLst/>
        </a:prstGeom>
      </xdr:spPr>
    </xdr:pic>
    <xdr:clientData/>
  </xdr:oneCellAnchor>
  <xdr:oneCellAnchor>
    <xdr:from>
      <xdr:col>9</xdr:col>
      <xdr:colOff>5521</xdr:colOff>
      <xdr:row>229</xdr:row>
      <xdr:rowOff>27609</xdr:rowOff>
    </xdr:from>
    <xdr:ext cx="298174" cy="298174"/>
    <xdr:pic>
      <xdr:nvPicPr>
        <xdr:cNvPr id="77" name="Graphic 76" descr="Cursor outline">
          <a:hlinkClick xmlns:r="http://schemas.openxmlformats.org/officeDocument/2006/relationships" r:id="rId12"/>
          <a:extLst>
            <a:ext uri="{FF2B5EF4-FFF2-40B4-BE49-F238E27FC236}">
              <a16:creationId xmlns:a16="http://schemas.microsoft.com/office/drawing/2014/main" id="{4AA97A82-2E3C-451C-9673-B389FDFAAF3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0639870"/>
          <a:ext cx="298174" cy="298174"/>
        </a:xfrm>
        <a:prstGeom prst="rect">
          <a:avLst/>
        </a:prstGeom>
      </xdr:spPr>
    </xdr:pic>
    <xdr:clientData/>
  </xdr:oneCellAnchor>
  <xdr:oneCellAnchor>
    <xdr:from>
      <xdr:col>9</xdr:col>
      <xdr:colOff>5521</xdr:colOff>
      <xdr:row>229</xdr:row>
      <xdr:rowOff>27609</xdr:rowOff>
    </xdr:from>
    <xdr:ext cx="298174" cy="298174"/>
    <xdr:pic>
      <xdr:nvPicPr>
        <xdr:cNvPr id="78" name="Graphic 77" descr="Cursor outline">
          <a:hlinkClick xmlns:r="http://schemas.openxmlformats.org/officeDocument/2006/relationships" r:id="rId22"/>
          <a:extLst>
            <a:ext uri="{FF2B5EF4-FFF2-40B4-BE49-F238E27FC236}">
              <a16:creationId xmlns:a16="http://schemas.microsoft.com/office/drawing/2014/main" id="{82BD94D5-232C-447B-8881-065F7908790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0639870"/>
          <a:ext cx="298174" cy="298174"/>
        </a:xfrm>
        <a:prstGeom prst="rect">
          <a:avLst/>
        </a:prstGeom>
      </xdr:spPr>
    </xdr:pic>
    <xdr:clientData/>
  </xdr:oneCellAnchor>
  <xdr:oneCellAnchor>
    <xdr:from>
      <xdr:col>9</xdr:col>
      <xdr:colOff>5521</xdr:colOff>
      <xdr:row>235</xdr:row>
      <xdr:rowOff>27609</xdr:rowOff>
    </xdr:from>
    <xdr:ext cx="298174" cy="298174"/>
    <xdr:pic>
      <xdr:nvPicPr>
        <xdr:cNvPr id="79" name="Graphic 78" descr="Cursor outline">
          <a:hlinkClick xmlns:r="http://schemas.openxmlformats.org/officeDocument/2006/relationships" r:id="rId12"/>
          <a:extLst>
            <a:ext uri="{FF2B5EF4-FFF2-40B4-BE49-F238E27FC236}">
              <a16:creationId xmlns:a16="http://schemas.microsoft.com/office/drawing/2014/main" id="{31C06203-7D49-4F41-B099-E458510CB37E}"/>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2025826"/>
          <a:ext cx="298174" cy="298174"/>
        </a:xfrm>
        <a:prstGeom prst="rect">
          <a:avLst/>
        </a:prstGeom>
      </xdr:spPr>
    </xdr:pic>
    <xdr:clientData/>
  </xdr:oneCellAnchor>
  <xdr:oneCellAnchor>
    <xdr:from>
      <xdr:col>9</xdr:col>
      <xdr:colOff>5521</xdr:colOff>
      <xdr:row>235</xdr:row>
      <xdr:rowOff>27609</xdr:rowOff>
    </xdr:from>
    <xdr:ext cx="298174" cy="298174"/>
    <xdr:pic>
      <xdr:nvPicPr>
        <xdr:cNvPr id="80" name="Graphic 79" descr="Cursor outline">
          <a:hlinkClick xmlns:r="http://schemas.openxmlformats.org/officeDocument/2006/relationships" r:id="rId22"/>
          <a:extLst>
            <a:ext uri="{FF2B5EF4-FFF2-40B4-BE49-F238E27FC236}">
              <a16:creationId xmlns:a16="http://schemas.microsoft.com/office/drawing/2014/main" id="{C9598D6B-64B6-4B05-8737-E2AD2B6E8D8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2025826"/>
          <a:ext cx="298174" cy="298174"/>
        </a:xfrm>
        <a:prstGeom prst="rect">
          <a:avLst/>
        </a:prstGeom>
      </xdr:spPr>
    </xdr:pic>
    <xdr:clientData/>
  </xdr:oneCellAnchor>
  <xdr:oneCellAnchor>
    <xdr:from>
      <xdr:col>9</xdr:col>
      <xdr:colOff>5521</xdr:colOff>
      <xdr:row>241</xdr:row>
      <xdr:rowOff>27609</xdr:rowOff>
    </xdr:from>
    <xdr:ext cx="298174" cy="298174"/>
    <xdr:pic>
      <xdr:nvPicPr>
        <xdr:cNvPr id="81" name="Graphic 80" descr="Cursor outline">
          <a:hlinkClick xmlns:r="http://schemas.openxmlformats.org/officeDocument/2006/relationships" r:id="rId12"/>
          <a:extLst>
            <a:ext uri="{FF2B5EF4-FFF2-40B4-BE49-F238E27FC236}">
              <a16:creationId xmlns:a16="http://schemas.microsoft.com/office/drawing/2014/main" id="{49EDB3DA-702A-4ECB-97CA-F250AA2318D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2025826"/>
          <a:ext cx="298174" cy="298174"/>
        </a:xfrm>
        <a:prstGeom prst="rect">
          <a:avLst/>
        </a:prstGeom>
      </xdr:spPr>
    </xdr:pic>
    <xdr:clientData/>
  </xdr:oneCellAnchor>
  <xdr:oneCellAnchor>
    <xdr:from>
      <xdr:col>9</xdr:col>
      <xdr:colOff>5521</xdr:colOff>
      <xdr:row>241</xdr:row>
      <xdr:rowOff>27609</xdr:rowOff>
    </xdr:from>
    <xdr:ext cx="298174" cy="298174"/>
    <xdr:pic>
      <xdr:nvPicPr>
        <xdr:cNvPr id="82" name="Graphic 81" descr="Cursor outline">
          <a:hlinkClick xmlns:r="http://schemas.openxmlformats.org/officeDocument/2006/relationships" r:id="rId22"/>
          <a:extLst>
            <a:ext uri="{FF2B5EF4-FFF2-40B4-BE49-F238E27FC236}">
              <a16:creationId xmlns:a16="http://schemas.microsoft.com/office/drawing/2014/main" id="{3DB5371D-7E1A-45C3-ADA8-D496BC4ACD2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2025826"/>
          <a:ext cx="298174" cy="298174"/>
        </a:xfrm>
        <a:prstGeom prst="rect">
          <a:avLst/>
        </a:prstGeom>
      </xdr:spPr>
    </xdr:pic>
    <xdr:clientData/>
  </xdr:oneCellAnchor>
  <xdr:oneCellAnchor>
    <xdr:from>
      <xdr:col>9</xdr:col>
      <xdr:colOff>5521</xdr:colOff>
      <xdr:row>249</xdr:row>
      <xdr:rowOff>27609</xdr:rowOff>
    </xdr:from>
    <xdr:ext cx="298174" cy="298174"/>
    <xdr:pic>
      <xdr:nvPicPr>
        <xdr:cNvPr id="83" name="Graphic 82" descr="Cursor outline">
          <a:hlinkClick xmlns:r="http://schemas.openxmlformats.org/officeDocument/2006/relationships" r:id="rId12"/>
          <a:extLst>
            <a:ext uri="{FF2B5EF4-FFF2-40B4-BE49-F238E27FC236}">
              <a16:creationId xmlns:a16="http://schemas.microsoft.com/office/drawing/2014/main" id="{BF744EFF-FC2B-4D51-9386-D78A28CFD02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4797739"/>
          <a:ext cx="298174" cy="298174"/>
        </a:xfrm>
        <a:prstGeom prst="rect">
          <a:avLst/>
        </a:prstGeom>
      </xdr:spPr>
    </xdr:pic>
    <xdr:clientData/>
  </xdr:oneCellAnchor>
  <xdr:oneCellAnchor>
    <xdr:from>
      <xdr:col>9</xdr:col>
      <xdr:colOff>5521</xdr:colOff>
      <xdr:row>249</xdr:row>
      <xdr:rowOff>27609</xdr:rowOff>
    </xdr:from>
    <xdr:ext cx="298174" cy="298174"/>
    <xdr:pic>
      <xdr:nvPicPr>
        <xdr:cNvPr id="84" name="Graphic 83" descr="Cursor outline">
          <a:hlinkClick xmlns:r="http://schemas.openxmlformats.org/officeDocument/2006/relationships" r:id="rId23"/>
          <a:extLst>
            <a:ext uri="{FF2B5EF4-FFF2-40B4-BE49-F238E27FC236}">
              <a16:creationId xmlns:a16="http://schemas.microsoft.com/office/drawing/2014/main" id="{23279DCF-AD66-4982-B52B-CFE161B64E7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54797739"/>
          <a:ext cx="298174" cy="298174"/>
        </a:xfrm>
        <a:prstGeom prst="rect">
          <a:avLst/>
        </a:prstGeom>
      </xdr:spPr>
    </xdr:pic>
    <xdr:clientData/>
  </xdr:oneCellAnchor>
  <xdr:oneCellAnchor>
    <xdr:from>
      <xdr:col>9</xdr:col>
      <xdr:colOff>0</xdr:colOff>
      <xdr:row>261</xdr:row>
      <xdr:rowOff>0</xdr:rowOff>
    </xdr:from>
    <xdr:ext cx="298174" cy="298174"/>
    <xdr:pic>
      <xdr:nvPicPr>
        <xdr:cNvPr id="85" name="Graphic 84" descr="Cursor outline">
          <a:hlinkClick xmlns:r="http://schemas.openxmlformats.org/officeDocument/2006/relationships" r:id="rId12"/>
          <a:extLst>
            <a:ext uri="{FF2B5EF4-FFF2-40B4-BE49-F238E27FC236}">
              <a16:creationId xmlns:a16="http://schemas.microsoft.com/office/drawing/2014/main" id="{C06E9F86-C53F-46E6-A64B-776024EF55B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58878304"/>
          <a:ext cx="298174" cy="298174"/>
        </a:xfrm>
        <a:prstGeom prst="rect">
          <a:avLst/>
        </a:prstGeom>
      </xdr:spPr>
    </xdr:pic>
    <xdr:clientData/>
  </xdr:oneCellAnchor>
  <xdr:oneCellAnchor>
    <xdr:from>
      <xdr:col>9</xdr:col>
      <xdr:colOff>0</xdr:colOff>
      <xdr:row>262</xdr:row>
      <xdr:rowOff>0</xdr:rowOff>
    </xdr:from>
    <xdr:ext cx="298174" cy="298174"/>
    <xdr:pic>
      <xdr:nvPicPr>
        <xdr:cNvPr id="86" name="Graphic 85" descr="Cursor outline">
          <a:hlinkClick xmlns:r="http://schemas.openxmlformats.org/officeDocument/2006/relationships" r:id="rId12"/>
          <a:extLst>
            <a:ext uri="{FF2B5EF4-FFF2-40B4-BE49-F238E27FC236}">
              <a16:creationId xmlns:a16="http://schemas.microsoft.com/office/drawing/2014/main" id="{E7711E50-7F96-42F6-B962-B383B98DF12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58878304"/>
          <a:ext cx="298174" cy="298174"/>
        </a:xfrm>
        <a:prstGeom prst="rect">
          <a:avLst/>
        </a:prstGeom>
      </xdr:spPr>
    </xdr:pic>
    <xdr:clientData/>
  </xdr:oneCellAnchor>
  <xdr:oneCellAnchor>
    <xdr:from>
      <xdr:col>9</xdr:col>
      <xdr:colOff>0</xdr:colOff>
      <xdr:row>267</xdr:row>
      <xdr:rowOff>0</xdr:rowOff>
    </xdr:from>
    <xdr:ext cx="298174" cy="298174"/>
    <xdr:pic>
      <xdr:nvPicPr>
        <xdr:cNvPr id="87" name="Graphic 86" descr="Cursor outline">
          <a:hlinkClick xmlns:r="http://schemas.openxmlformats.org/officeDocument/2006/relationships" r:id="rId12"/>
          <a:extLst>
            <a:ext uri="{FF2B5EF4-FFF2-40B4-BE49-F238E27FC236}">
              <a16:creationId xmlns:a16="http://schemas.microsoft.com/office/drawing/2014/main" id="{2F55566C-6DD2-4D0B-972C-2105A19A01A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59253783"/>
          <a:ext cx="298174" cy="298174"/>
        </a:xfrm>
        <a:prstGeom prst="rect">
          <a:avLst/>
        </a:prstGeom>
      </xdr:spPr>
    </xdr:pic>
    <xdr:clientData/>
  </xdr:oneCellAnchor>
  <xdr:oneCellAnchor>
    <xdr:from>
      <xdr:col>9</xdr:col>
      <xdr:colOff>0</xdr:colOff>
      <xdr:row>273</xdr:row>
      <xdr:rowOff>0</xdr:rowOff>
    </xdr:from>
    <xdr:ext cx="298174" cy="298174"/>
    <xdr:pic>
      <xdr:nvPicPr>
        <xdr:cNvPr id="88" name="Graphic 87" descr="Cursor outline">
          <a:hlinkClick xmlns:r="http://schemas.openxmlformats.org/officeDocument/2006/relationships" r:id="rId12"/>
          <a:extLst>
            <a:ext uri="{FF2B5EF4-FFF2-40B4-BE49-F238E27FC236}">
              <a16:creationId xmlns:a16="http://schemas.microsoft.com/office/drawing/2014/main" id="{2AFF5BC1-C813-4D79-8CE6-696B26A6191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59253783"/>
          <a:ext cx="298174" cy="298174"/>
        </a:xfrm>
        <a:prstGeom prst="rect">
          <a:avLst/>
        </a:prstGeom>
      </xdr:spPr>
    </xdr:pic>
    <xdr:clientData/>
  </xdr:oneCellAnchor>
  <xdr:oneCellAnchor>
    <xdr:from>
      <xdr:col>9</xdr:col>
      <xdr:colOff>0</xdr:colOff>
      <xdr:row>275</xdr:row>
      <xdr:rowOff>0</xdr:rowOff>
    </xdr:from>
    <xdr:ext cx="298174" cy="298174"/>
    <xdr:pic>
      <xdr:nvPicPr>
        <xdr:cNvPr id="89" name="Graphic 88" descr="Cursor outline">
          <a:hlinkClick xmlns:r="http://schemas.openxmlformats.org/officeDocument/2006/relationships" r:id="rId24"/>
          <a:extLst>
            <a:ext uri="{FF2B5EF4-FFF2-40B4-BE49-F238E27FC236}">
              <a16:creationId xmlns:a16="http://schemas.microsoft.com/office/drawing/2014/main" id="{4BB38BE0-B49D-46F3-BC4C-816EA5A9AAB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59253783"/>
          <a:ext cx="298174" cy="298174"/>
        </a:xfrm>
        <a:prstGeom prst="rect">
          <a:avLst/>
        </a:prstGeom>
      </xdr:spPr>
    </xdr:pic>
    <xdr:clientData/>
  </xdr:oneCellAnchor>
  <xdr:oneCellAnchor>
    <xdr:from>
      <xdr:col>9</xdr:col>
      <xdr:colOff>0</xdr:colOff>
      <xdr:row>272</xdr:row>
      <xdr:rowOff>0</xdr:rowOff>
    </xdr:from>
    <xdr:ext cx="298174" cy="298174"/>
    <xdr:pic>
      <xdr:nvPicPr>
        <xdr:cNvPr id="90" name="Graphic 89" descr="Cursor outline">
          <a:hlinkClick xmlns:r="http://schemas.openxmlformats.org/officeDocument/2006/relationships" r:id="rId22"/>
          <a:extLst>
            <a:ext uri="{FF2B5EF4-FFF2-40B4-BE49-F238E27FC236}">
              <a16:creationId xmlns:a16="http://schemas.microsoft.com/office/drawing/2014/main" id="{E0F28A96-9DF7-46E1-8D60-479C6AD3F9F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3384043"/>
          <a:ext cx="298174" cy="298174"/>
        </a:xfrm>
        <a:prstGeom prst="rect">
          <a:avLst/>
        </a:prstGeom>
      </xdr:spPr>
    </xdr:pic>
    <xdr:clientData/>
  </xdr:oneCellAnchor>
  <xdr:oneCellAnchor>
    <xdr:from>
      <xdr:col>9</xdr:col>
      <xdr:colOff>0</xdr:colOff>
      <xdr:row>271</xdr:row>
      <xdr:rowOff>0</xdr:rowOff>
    </xdr:from>
    <xdr:ext cx="298174" cy="298174"/>
    <xdr:pic>
      <xdr:nvPicPr>
        <xdr:cNvPr id="91" name="Graphic 90" descr="Cursor outline">
          <a:hlinkClick xmlns:r="http://schemas.openxmlformats.org/officeDocument/2006/relationships" r:id="rId22"/>
          <a:extLst>
            <a:ext uri="{FF2B5EF4-FFF2-40B4-BE49-F238E27FC236}">
              <a16:creationId xmlns:a16="http://schemas.microsoft.com/office/drawing/2014/main" id="{676B2AE3-03E2-429A-8B33-7E41728ADD0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3008565"/>
          <a:ext cx="298174" cy="298174"/>
        </a:xfrm>
        <a:prstGeom prst="rect">
          <a:avLst/>
        </a:prstGeom>
      </xdr:spPr>
    </xdr:pic>
    <xdr:clientData/>
  </xdr:oneCellAnchor>
  <xdr:oneCellAnchor>
    <xdr:from>
      <xdr:col>9</xdr:col>
      <xdr:colOff>0</xdr:colOff>
      <xdr:row>270</xdr:row>
      <xdr:rowOff>0</xdr:rowOff>
    </xdr:from>
    <xdr:ext cx="298174" cy="298174"/>
    <xdr:pic>
      <xdr:nvPicPr>
        <xdr:cNvPr id="92" name="Graphic 91" descr="Cursor outline">
          <a:hlinkClick xmlns:r="http://schemas.openxmlformats.org/officeDocument/2006/relationships" r:id="rId25"/>
          <a:extLst>
            <a:ext uri="{FF2B5EF4-FFF2-40B4-BE49-F238E27FC236}">
              <a16:creationId xmlns:a16="http://schemas.microsoft.com/office/drawing/2014/main" id="{78B7D23A-9D99-4299-8095-F2163FB0E43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2633087"/>
          <a:ext cx="298174" cy="298174"/>
        </a:xfrm>
        <a:prstGeom prst="rect">
          <a:avLst/>
        </a:prstGeom>
      </xdr:spPr>
    </xdr:pic>
    <xdr:clientData/>
  </xdr:oneCellAnchor>
  <xdr:oneCellAnchor>
    <xdr:from>
      <xdr:col>9</xdr:col>
      <xdr:colOff>0</xdr:colOff>
      <xdr:row>269</xdr:row>
      <xdr:rowOff>0</xdr:rowOff>
    </xdr:from>
    <xdr:ext cx="298174" cy="298174"/>
    <xdr:pic>
      <xdr:nvPicPr>
        <xdr:cNvPr id="93" name="Graphic 92" descr="Cursor outline">
          <a:hlinkClick xmlns:r="http://schemas.openxmlformats.org/officeDocument/2006/relationships" r:id="rId20"/>
          <a:extLst>
            <a:ext uri="{FF2B5EF4-FFF2-40B4-BE49-F238E27FC236}">
              <a16:creationId xmlns:a16="http://schemas.microsoft.com/office/drawing/2014/main" id="{134B8D2F-8DE2-4672-A75B-A1478247682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2257609"/>
          <a:ext cx="298174" cy="298174"/>
        </a:xfrm>
        <a:prstGeom prst="rect">
          <a:avLst/>
        </a:prstGeom>
      </xdr:spPr>
    </xdr:pic>
    <xdr:clientData/>
  </xdr:oneCellAnchor>
  <xdr:oneCellAnchor>
    <xdr:from>
      <xdr:col>9</xdr:col>
      <xdr:colOff>0</xdr:colOff>
      <xdr:row>268</xdr:row>
      <xdr:rowOff>0</xdr:rowOff>
    </xdr:from>
    <xdr:ext cx="298174" cy="298174"/>
    <xdr:pic>
      <xdr:nvPicPr>
        <xdr:cNvPr id="94" name="Graphic 93" descr="Cursor outline">
          <a:hlinkClick xmlns:r="http://schemas.openxmlformats.org/officeDocument/2006/relationships" r:id="rId19"/>
          <a:extLst>
            <a:ext uri="{FF2B5EF4-FFF2-40B4-BE49-F238E27FC236}">
              <a16:creationId xmlns:a16="http://schemas.microsoft.com/office/drawing/2014/main" id="{D799412F-D4A9-42B1-BD6E-D059F0822B4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1882130"/>
          <a:ext cx="298174" cy="298174"/>
        </a:xfrm>
        <a:prstGeom prst="rect">
          <a:avLst/>
        </a:prstGeom>
      </xdr:spPr>
    </xdr:pic>
    <xdr:clientData/>
  </xdr:oneCellAnchor>
  <xdr:oneCellAnchor>
    <xdr:from>
      <xdr:col>9</xdr:col>
      <xdr:colOff>0</xdr:colOff>
      <xdr:row>266</xdr:row>
      <xdr:rowOff>0</xdr:rowOff>
    </xdr:from>
    <xdr:ext cx="298174" cy="298174"/>
    <xdr:pic>
      <xdr:nvPicPr>
        <xdr:cNvPr id="95" name="Graphic 94" descr="Cursor outline">
          <a:hlinkClick xmlns:r="http://schemas.openxmlformats.org/officeDocument/2006/relationships" r:id="rId18"/>
          <a:extLst>
            <a:ext uri="{FF2B5EF4-FFF2-40B4-BE49-F238E27FC236}">
              <a16:creationId xmlns:a16="http://schemas.microsoft.com/office/drawing/2014/main" id="{870393D9-2BA2-413C-BE71-FB0441124A7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1131174"/>
          <a:ext cx="298174" cy="298174"/>
        </a:xfrm>
        <a:prstGeom prst="rect">
          <a:avLst/>
        </a:prstGeom>
      </xdr:spPr>
    </xdr:pic>
    <xdr:clientData/>
  </xdr:oneCellAnchor>
  <xdr:oneCellAnchor>
    <xdr:from>
      <xdr:col>9</xdr:col>
      <xdr:colOff>0</xdr:colOff>
      <xdr:row>265</xdr:row>
      <xdr:rowOff>0</xdr:rowOff>
    </xdr:from>
    <xdr:ext cx="298174" cy="298174"/>
    <xdr:pic>
      <xdr:nvPicPr>
        <xdr:cNvPr id="96" name="Graphic 95" descr="Cursor outline">
          <a:hlinkClick xmlns:r="http://schemas.openxmlformats.org/officeDocument/2006/relationships" r:id="rId16"/>
          <a:extLst>
            <a:ext uri="{FF2B5EF4-FFF2-40B4-BE49-F238E27FC236}">
              <a16:creationId xmlns:a16="http://schemas.microsoft.com/office/drawing/2014/main" id="{8029B137-82A0-4245-B4B1-D2A8F3883EA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0755696"/>
          <a:ext cx="298174" cy="298174"/>
        </a:xfrm>
        <a:prstGeom prst="rect">
          <a:avLst/>
        </a:prstGeom>
      </xdr:spPr>
    </xdr:pic>
    <xdr:clientData/>
  </xdr:oneCellAnchor>
  <xdr:oneCellAnchor>
    <xdr:from>
      <xdr:col>9</xdr:col>
      <xdr:colOff>0</xdr:colOff>
      <xdr:row>264</xdr:row>
      <xdr:rowOff>0</xdr:rowOff>
    </xdr:from>
    <xdr:ext cx="298174" cy="298174"/>
    <xdr:pic>
      <xdr:nvPicPr>
        <xdr:cNvPr id="97" name="Graphic 96" descr="Cursor outline">
          <a:hlinkClick xmlns:r="http://schemas.openxmlformats.org/officeDocument/2006/relationships" r:id="rId16"/>
          <a:extLst>
            <a:ext uri="{FF2B5EF4-FFF2-40B4-BE49-F238E27FC236}">
              <a16:creationId xmlns:a16="http://schemas.microsoft.com/office/drawing/2014/main" id="{B64E6593-C47A-46B4-9B59-6E3CB0C7012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0380217"/>
          <a:ext cx="298174" cy="298174"/>
        </a:xfrm>
        <a:prstGeom prst="rect">
          <a:avLst/>
        </a:prstGeom>
      </xdr:spPr>
    </xdr:pic>
    <xdr:clientData/>
  </xdr:oneCellAnchor>
  <xdr:oneCellAnchor>
    <xdr:from>
      <xdr:col>9</xdr:col>
      <xdr:colOff>0</xdr:colOff>
      <xdr:row>263</xdr:row>
      <xdr:rowOff>0</xdr:rowOff>
    </xdr:from>
    <xdr:ext cx="298174" cy="298174"/>
    <xdr:pic>
      <xdr:nvPicPr>
        <xdr:cNvPr id="98" name="Graphic 97" descr="Cursor outline">
          <a:hlinkClick xmlns:r="http://schemas.openxmlformats.org/officeDocument/2006/relationships" r:id="rId18"/>
          <a:extLst>
            <a:ext uri="{FF2B5EF4-FFF2-40B4-BE49-F238E27FC236}">
              <a16:creationId xmlns:a16="http://schemas.microsoft.com/office/drawing/2014/main" id="{2DEEBA5C-91E4-4088-AF86-900BECF7CFE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0755696"/>
          <a:ext cx="298174" cy="298174"/>
        </a:xfrm>
        <a:prstGeom prst="rect">
          <a:avLst/>
        </a:prstGeom>
      </xdr:spPr>
    </xdr:pic>
    <xdr:clientData/>
  </xdr:oneCellAnchor>
  <xdr:oneCellAnchor>
    <xdr:from>
      <xdr:col>9</xdr:col>
      <xdr:colOff>0</xdr:colOff>
      <xdr:row>280</xdr:row>
      <xdr:rowOff>0</xdr:rowOff>
    </xdr:from>
    <xdr:ext cx="298174" cy="298174"/>
    <xdr:pic>
      <xdr:nvPicPr>
        <xdr:cNvPr id="99" name="Graphic 98" descr="Cursor outline">
          <a:hlinkClick xmlns:r="http://schemas.openxmlformats.org/officeDocument/2006/relationships" r:id="rId26"/>
          <a:extLst>
            <a:ext uri="{FF2B5EF4-FFF2-40B4-BE49-F238E27FC236}">
              <a16:creationId xmlns:a16="http://schemas.microsoft.com/office/drawing/2014/main" id="{2683A965-9C61-41EC-97A5-FDCFCB9BF7F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4135000"/>
          <a:ext cx="298174" cy="298174"/>
        </a:xfrm>
        <a:prstGeom prst="rect">
          <a:avLst/>
        </a:prstGeom>
      </xdr:spPr>
    </xdr:pic>
    <xdr:clientData/>
  </xdr:oneCellAnchor>
  <xdr:oneCellAnchor>
    <xdr:from>
      <xdr:col>9</xdr:col>
      <xdr:colOff>0</xdr:colOff>
      <xdr:row>286</xdr:row>
      <xdr:rowOff>0</xdr:rowOff>
    </xdr:from>
    <xdr:ext cx="298174" cy="298174"/>
    <xdr:pic>
      <xdr:nvPicPr>
        <xdr:cNvPr id="100" name="Graphic 99" descr="Cursor outline">
          <a:hlinkClick xmlns:r="http://schemas.openxmlformats.org/officeDocument/2006/relationships" r:id="rId26"/>
          <a:extLst>
            <a:ext uri="{FF2B5EF4-FFF2-40B4-BE49-F238E27FC236}">
              <a16:creationId xmlns:a16="http://schemas.microsoft.com/office/drawing/2014/main" id="{A31EB80D-AB3F-4DCC-AD84-3E68059DD5B3}"/>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5449174"/>
          <a:ext cx="298174" cy="298174"/>
        </a:xfrm>
        <a:prstGeom prst="rect">
          <a:avLst/>
        </a:prstGeom>
      </xdr:spPr>
    </xdr:pic>
    <xdr:clientData/>
  </xdr:oneCellAnchor>
  <xdr:oneCellAnchor>
    <xdr:from>
      <xdr:col>9</xdr:col>
      <xdr:colOff>0</xdr:colOff>
      <xdr:row>292</xdr:row>
      <xdr:rowOff>0</xdr:rowOff>
    </xdr:from>
    <xdr:ext cx="298174" cy="298174"/>
    <xdr:pic>
      <xdr:nvPicPr>
        <xdr:cNvPr id="101" name="Graphic 100" descr="Cursor outline">
          <a:hlinkClick xmlns:r="http://schemas.openxmlformats.org/officeDocument/2006/relationships" r:id="rId22"/>
          <a:extLst>
            <a:ext uri="{FF2B5EF4-FFF2-40B4-BE49-F238E27FC236}">
              <a16:creationId xmlns:a16="http://schemas.microsoft.com/office/drawing/2014/main" id="{62FB468D-E758-45C6-831D-EB80DDA941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6835130"/>
          <a:ext cx="298174" cy="298174"/>
        </a:xfrm>
        <a:prstGeom prst="rect">
          <a:avLst/>
        </a:prstGeom>
      </xdr:spPr>
    </xdr:pic>
    <xdr:clientData/>
  </xdr:oneCellAnchor>
  <xdr:oneCellAnchor>
    <xdr:from>
      <xdr:col>9</xdr:col>
      <xdr:colOff>0</xdr:colOff>
      <xdr:row>300</xdr:row>
      <xdr:rowOff>0</xdr:rowOff>
    </xdr:from>
    <xdr:ext cx="298174" cy="298174"/>
    <xdr:pic>
      <xdr:nvPicPr>
        <xdr:cNvPr id="102" name="Graphic 101" descr="Cursor outline">
          <a:hlinkClick xmlns:r="http://schemas.openxmlformats.org/officeDocument/2006/relationships" r:id="rId21"/>
          <a:extLst>
            <a:ext uri="{FF2B5EF4-FFF2-40B4-BE49-F238E27FC236}">
              <a16:creationId xmlns:a16="http://schemas.microsoft.com/office/drawing/2014/main" id="{15EBA3C2-A8C5-46FC-8702-21433668A97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8221087"/>
          <a:ext cx="298174" cy="298174"/>
        </a:xfrm>
        <a:prstGeom prst="rect">
          <a:avLst/>
        </a:prstGeom>
      </xdr:spPr>
    </xdr:pic>
    <xdr:clientData/>
  </xdr:oneCellAnchor>
  <xdr:oneCellAnchor>
    <xdr:from>
      <xdr:col>9</xdr:col>
      <xdr:colOff>0</xdr:colOff>
      <xdr:row>306</xdr:row>
      <xdr:rowOff>0</xdr:rowOff>
    </xdr:from>
    <xdr:ext cx="298174" cy="298174"/>
    <xdr:pic>
      <xdr:nvPicPr>
        <xdr:cNvPr id="103" name="Graphic 102" descr="Cursor outline">
          <a:hlinkClick xmlns:r="http://schemas.openxmlformats.org/officeDocument/2006/relationships" r:id="rId21"/>
          <a:extLst>
            <a:ext uri="{FF2B5EF4-FFF2-40B4-BE49-F238E27FC236}">
              <a16:creationId xmlns:a16="http://schemas.microsoft.com/office/drawing/2014/main" id="{DA53D668-1E25-4178-9958-FC2E32E8B87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70181304"/>
          <a:ext cx="298174" cy="298174"/>
        </a:xfrm>
        <a:prstGeom prst="rect">
          <a:avLst/>
        </a:prstGeom>
      </xdr:spPr>
    </xdr:pic>
    <xdr:clientData/>
  </xdr:oneCellAnchor>
  <xdr:oneCellAnchor>
    <xdr:from>
      <xdr:col>9</xdr:col>
      <xdr:colOff>0</xdr:colOff>
      <xdr:row>312</xdr:row>
      <xdr:rowOff>0</xdr:rowOff>
    </xdr:from>
    <xdr:ext cx="298174" cy="298174"/>
    <xdr:pic>
      <xdr:nvPicPr>
        <xdr:cNvPr id="104" name="Graphic 103" descr="Cursor outline">
          <a:hlinkClick xmlns:r="http://schemas.openxmlformats.org/officeDocument/2006/relationships" r:id="rId21"/>
          <a:extLst>
            <a:ext uri="{FF2B5EF4-FFF2-40B4-BE49-F238E27FC236}">
              <a16:creationId xmlns:a16="http://schemas.microsoft.com/office/drawing/2014/main" id="{83BED4D9-A625-4EB3-B1FA-08B6D6998DA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70181304"/>
          <a:ext cx="298174" cy="298174"/>
        </a:xfrm>
        <a:prstGeom prst="rect">
          <a:avLst/>
        </a:prstGeom>
      </xdr:spPr>
    </xdr:pic>
    <xdr:clientData/>
  </xdr:oneCellAnchor>
  <xdr:oneCellAnchor>
    <xdr:from>
      <xdr:col>9</xdr:col>
      <xdr:colOff>0</xdr:colOff>
      <xdr:row>318</xdr:row>
      <xdr:rowOff>0</xdr:rowOff>
    </xdr:from>
    <xdr:ext cx="298174" cy="298174"/>
    <xdr:pic>
      <xdr:nvPicPr>
        <xdr:cNvPr id="2" name="Graphic 1" descr="Cursor outline">
          <a:hlinkClick xmlns:r="http://schemas.openxmlformats.org/officeDocument/2006/relationships" r:id="rId27"/>
          <a:extLst>
            <a:ext uri="{FF2B5EF4-FFF2-40B4-BE49-F238E27FC236}">
              <a16:creationId xmlns:a16="http://schemas.microsoft.com/office/drawing/2014/main" id="{7A3C9578-276D-4133-914A-2CCD39B483A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74582130"/>
          <a:ext cx="298174" cy="298174"/>
        </a:xfrm>
        <a:prstGeom prst="rect">
          <a:avLst/>
        </a:prstGeom>
      </xdr:spPr>
    </xdr:pic>
    <xdr:clientData/>
  </xdr:oneCellAnchor>
  <xdr:oneCellAnchor>
    <xdr:from>
      <xdr:col>9</xdr:col>
      <xdr:colOff>5521</xdr:colOff>
      <xdr:row>68</xdr:row>
      <xdr:rowOff>27609</xdr:rowOff>
    </xdr:from>
    <xdr:ext cx="298174" cy="298174"/>
    <xdr:pic>
      <xdr:nvPicPr>
        <xdr:cNvPr id="3" name="Graphic 2" descr="Cursor outline">
          <a:hlinkClick xmlns:r="http://schemas.openxmlformats.org/officeDocument/2006/relationships" r:id="rId28"/>
          <a:extLst>
            <a:ext uri="{FF2B5EF4-FFF2-40B4-BE49-F238E27FC236}">
              <a16:creationId xmlns:a16="http://schemas.microsoft.com/office/drawing/2014/main" id="{EA0595A0-4A4C-4E37-9C2F-CC05F7F7E77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64738" y="16918609"/>
          <a:ext cx="298174" cy="298174"/>
        </a:xfrm>
        <a:prstGeom prst="rect">
          <a:avLst/>
        </a:prstGeom>
      </xdr:spPr>
    </xdr:pic>
    <xdr:clientData/>
  </xdr:oneCellAnchor>
  <xdr:twoCellAnchor>
    <xdr:from>
      <xdr:col>10</xdr:col>
      <xdr:colOff>1380</xdr:colOff>
      <xdr:row>0</xdr:row>
      <xdr:rowOff>0</xdr:rowOff>
    </xdr:from>
    <xdr:to>
      <xdr:col>11</xdr:col>
      <xdr:colOff>105986</xdr:colOff>
      <xdr:row>0</xdr:row>
      <xdr:rowOff>392043</xdr:rowOff>
    </xdr:to>
    <xdr:grpSp>
      <xdr:nvGrpSpPr>
        <xdr:cNvPr id="7" name="Group 6">
          <a:extLst>
            <a:ext uri="{FF2B5EF4-FFF2-40B4-BE49-F238E27FC236}">
              <a16:creationId xmlns:a16="http://schemas.microsoft.com/office/drawing/2014/main" id="{09EF1064-BE3E-8604-F80F-4964E14563B1}"/>
            </a:ext>
          </a:extLst>
        </xdr:cNvPr>
        <xdr:cNvGrpSpPr/>
      </xdr:nvGrpSpPr>
      <xdr:grpSpPr>
        <a:xfrm>
          <a:off x="7008467" y="0"/>
          <a:ext cx="711997" cy="392043"/>
          <a:chOff x="7099300" y="0"/>
          <a:chExt cx="893386" cy="539750"/>
        </a:xfrm>
      </xdr:grpSpPr>
      <xdr:pic>
        <xdr:nvPicPr>
          <xdr:cNvPr id="5" name="Graphic 4" descr="Rewind with solid fill">
            <a:hlinkClick xmlns:r="http://schemas.openxmlformats.org/officeDocument/2006/relationships" r:id="rId29"/>
            <a:extLst>
              <a:ext uri="{FF2B5EF4-FFF2-40B4-BE49-F238E27FC236}">
                <a16:creationId xmlns:a16="http://schemas.microsoft.com/office/drawing/2014/main" id="{B597C3C1-F060-3620-186B-5B2957CCE5BA}"/>
              </a:ext>
            </a:extLst>
          </xdr:cNvPr>
          <xdr:cNvPicPr>
            <a:picLocks noChangeAspect="1"/>
          </xdr:cNvPicPr>
        </xdr:nvPicPr>
        <xdr:blipFill>
          <a:blip xmlns:r="http://schemas.openxmlformats.org/officeDocument/2006/relationships" r:embed="rId30">
            <a:extLst>
              <a:ext uri="{96DAC541-7B7A-43D3-8B79-37D633B846F1}">
                <asvg:svgBlip xmlns:asvg="http://schemas.microsoft.com/office/drawing/2016/SVG/main" r:embed="rId31"/>
              </a:ext>
            </a:extLst>
          </a:blip>
          <a:stretch>
            <a:fillRect/>
          </a:stretch>
        </xdr:blipFill>
        <xdr:spPr>
          <a:xfrm>
            <a:off x="7099300" y="0"/>
            <a:ext cx="539750" cy="539750"/>
          </a:xfrm>
          <a:prstGeom prst="rect">
            <a:avLst/>
          </a:prstGeom>
        </xdr:spPr>
      </xdr:pic>
      <xdr:sp macro="" textlink="">
        <xdr:nvSpPr>
          <xdr:cNvPr id="6" name="TextBox 5">
            <a:hlinkClick xmlns:r="http://schemas.openxmlformats.org/officeDocument/2006/relationships" r:id="rId29"/>
            <a:extLst>
              <a:ext uri="{FF2B5EF4-FFF2-40B4-BE49-F238E27FC236}">
                <a16:creationId xmlns:a16="http://schemas.microsoft.com/office/drawing/2014/main" id="{3D878BC5-4037-BBD6-AA05-F8CA904EFDB3}"/>
              </a:ext>
            </a:extLst>
          </xdr:cNvPr>
          <xdr:cNvSpPr txBox="1"/>
        </xdr:nvSpPr>
        <xdr:spPr>
          <a:xfrm>
            <a:off x="7486650" y="123242"/>
            <a:ext cx="506036" cy="25455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mc:AlternateContent xmlns:mc="http://schemas.openxmlformats.org/markup-compatibility/2006">
    <mc:Choice xmlns:a14="http://schemas.microsoft.com/office/drawing/2010/main" Requires="a14">
      <xdr:twoCellAnchor editAs="oneCell">
        <xdr:from>
          <xdr:col>9</xdr:col>
          <xdr:colOff>271394</xdr:colOff>
          <xdr:row>13</xdr:row>
          <xdr:rowOff>76752</xdr:rowOff>
        </xdr:from>
        <xdr:to>
          <xdr:col>12</xdr:col>
          <xdr:colOff>380724</xdr:colOff>
          <xdr:row>14</xdr:row>
          <xdr:rowOff>35891</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Bahasa Malaysia translation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271394</xdr:colOff>
          <xdr:row>12</xdr:row>
          <xdr:rowOff>71506</xdr:rowOff>
        </xdr:from>
        <xdr:to>
          <xdr:col>12</xdr:col>
          <xdr:colOff>380724</xdr:colOff>
          <xdr:row>13</xdr:row>
          <xdr:rowOff>140252</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en-US" sz="800" b="0" i="0" u="none" strike="noStrike" baseline="0">
                  <a:solidFill>
                    <a:srgbClr val="000000"/>
                  </a:solidFill>
                  <a:latin typeface="Segoe UI"/>
                  <a:cs typeface="Segoe UI"/>
                </a:rPr>
                <a:t>English only</a:t>
              </a:r>
            </a:p>
          </xdr:txBody>
        </xdr:sp>
        <xdr:clientData/>
      </xdr:twoCellAnchor>
    </mc:Choice>
    <mc:Fallback/>
  </mc:AlternateContent>
  <xdr:oneCellAnchor>
    <xdr:from>
      <xdr:col>9</xdr:col>
      <xdr:colOff>220871</xdr:colOff>
      <xdr:row>11</xdr:row>
      <xdr:rowOff>99396</xdr:rowOff>
    </xdr:from>
    <xdr:ext cx="638957" cy="233205"/>
    <xdr:sp macro="" textlink="">
      <xdr:nvSpPr>
        <xdr:cNvPr id="13" name="TextBox 12">
          <a:extLst>
            <a:ext uri="{FF2B5EF4-FFF2-40B4-BE49-F238E27FC236}">
              <a16:creationId xmlns:a16="http://schemas.microsoft.com/office/drawing/2014/main" id="{CEE2A0E0-ACB8-EAFD-7A93-D19CA24BC47A}"/>
            </a:ext>
          </a:extLst>
        </xdr:cNvPr>
        <xdr:cNvSpPr txBox="1"/>
      </xdr:nvSpPr>
      <xdr:spPr>
        <a:xfrm>
          <a:off x="6880088" y="2015439"/>
          <a:ext cx="638957" cy="233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00" b="1"/>
            <a:t>Language</a:t>
          </a:r>
        </a:p>
      </xdr:txBody>
    </xdr:sp>
    <xdr:clientData/>
  </xdr:oneCellAnchor>
  <xdr:oneCellAnchor>
    <xdr:from>
      <xdr:col>9</xdr:col>
      <xdr:colOff>0</xdr:colOff>
      <xdr:row>259</xdr:row>
      <xdr:rowOff>0</xdr:rowOff>
    </xdr:from>
    <xdr:ext cx="298174" cy="298174"/>
    <xdr:pic>
      <xdr:nvPicPr>
        <xdr:cNvPr id="4" name="Graphic 3" descr="Cursor outline">
          <a:hlinkClick xmlns:r="http://schemas.openxmlformats.org/officeDocument/2006/relationships" r:id="rId32"/>
          <a:extLst>
            <a:ext uri="{FF2B5EF4-FFF2-40B4-BE49-F238E27FC236}">
              <a16:creationId xmlns:a16="http://schemas.microsoft.com/office/drawing/2014/main" id="{40148C89-B7FD-4B8B-A58B-4E07229C1C0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1600522"/>
          <a:ext cx="298174" cy="298174"/>
        </a:xfrm>
        <a:prstGeom prst="rect">
          <a:avLst/>
        </a:prstGeom>
      </xdr:spPr>
    </xdr:pic>
    <xdr:clientData/>
  </xdr:oneCellAnchor>
  <xdr:oneCellAnchor>
    <xdr:from>
      <xdr:col>9</xdr:col>
      <xdr:colOff>0</xdr:colOff>
      <xdr:row>260</xdr:row>
      <xdr:rowOff>0</xdr:rowOff>
    </xdr:from>
    <xdr:ext cx="298174" cy="298174"/>
    <xdr:pic>
      <xdr:nvPicPr>
        <xdr:cNvPr id="8" name="Graphic 7" descr="Cursor outline">
          <a:hlinkClick xmlns:r="http://schemas.openxmlformats.org/officeDocument/2006/relationships" r:id="rId32"/>
          <a:extLst>
            <a:ext uri="{FF2B5EF4-FFF2-40B4-BE49-F238E27FC236}">
              <a16:creationId xmlns:a16="http://schemas.microsoft.com/office/drawing/2014/main" id="{8EC84D44-2B08-457A-8550-895881DDC64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6659217" y="60849565"/>
          <a:ext cx="298174" cy="29817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152400</xdr:rowOff>
    </xdr:from>
    <xdr:to>
      <xdr:col>4</xdr:col>
      <xdr:colOff>6350</xdr:colOff>
      <xdr:row>3</xdr:row>
      <xdr:rowOff>6350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F85C25FF-3214-4F88-92BD-4137C55A934F}"/>
            </a:ext>
          </a:extLst>
        </xdr:cNvPr>
        <xdr:cNvSpPr/>
      </xdr:nvSpPr>
      <xdr:spPr>
        <a:xfrm>
          <a:off x="209550" y="152400"/>
          <a:ext cx="3873500" cy="406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0</xdr:row>
      <xdr:rowOff>152400</xdr:rowOff>
    </xdr:from>
    <xdr:to>
      <xdr:col>9</xdr:col>
      <xdr:colOff>6350</xdr:colOff>
      <xdr:row>3</xdr:row>
      <xdr:rowOff>6350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4BC413FD-7A12-4500-B944-B504D889DF9E}"/>
            </a:ext>
          </a:extLst>
        </xdr:cNvPr>
        <xdr:cNvSpPr/>
      </xdr:nvSpPr>
      <xdr:spPr>
        <a:xfrm>
          <a:off x="209550" y="152400"/>
          <a:ext cx="3873500" cy="4064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9638</xdr:colOff>
      <xdr:row>5</xdr:row>
      <xdr:rowOff>15875</xdr:rowOff>
    </xdr:from>
    <xdr:to>
      <xdr:col>2</xdr:col>
      <xdr:colOff>0</xdr:colOff>
      <xdr:row>5</xdr:row>
      <xdr:rowOff>297657</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470C237D-2041-0B83-9678-93E679901028}"/>
            </a:ext>
          </a:extLst>
        </xdr:cNvPr>
        <xdr:cNvSpPr/>
      </xdr:nvSpPr>
      <xdr:spPr>
        <a:xfrm>
          <a:off x="219982" y="1075531"/>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11223</xdr:colOff>
      <xdr:row>6</xdr:row>
      <xdr:rowOff>29371</xdr:rowOff>
    </xdr:from>
    <xdr:to>
      <xdr:col>2</xdr:col>
      <xdr:colOff>1585</xdr:colOff>
      <xdr:row>6</xdr:row>
      <xdr:rowOff>311153</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C47E321C-391C-421B-8274-AC51C095E560}"/>
            </a:ext>
          </a:extLst>
        </xdr:cNvPr>
        <xdr:cNvSpPr/>
      </xdr:nvSpPr>
      <xdr:spPr>
        <a:xfrm>
          <a:off x="221567" y="1418434"/>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207280</xdr:colOff>
      <xdr:row>7</xdr:row>
      <xdr:rowOff>26990</xdr:rowOff>
    </xdr:from>
    <xdr:to>
      <xdr:col>1</xdr:col>
      <xdr:colOff>1808954</xdr:colOff>
      <xdr:row>7</xdr:row>
      <xdr:rowOff>308772</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95DDE242-8C5B-4178-9952-8A3DA64120FA}"/>
            </a:ext>
          </a:extLst>
        </xdr:cNvPr>
        <xdr:cNvSpPr/>
      </xdr:nvSpPr>
      <xdr:spPr>
        <a:xfrm>
          <a:off x="207280" y="1745459"/>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2491</xdr:colOff>
      <xdr:row>8</xdr:row>
      <xdr:rowOff>36517</xdr:rowOff>
    </xdr:from>
    <xdr:to>
      <xdr:col>1</xdr:col>
      <xdr:colOff>1814509</xdr:colOff>
      <xdr:row>8</xdr:row>
      <xdr:rowOff>318299</xdr:rowOff>
    </xdr:to>
    <xdr:sp macro="" textlink="">
      <xdr:nvSpPr>
        <xdr:cNvPr id="7" name="Rectangle 6">
          <a:hlinkClick xmlns:r="http://schemas.openxmlformats.org/officeDocument/2006/relationships" r:id="rId6"/>
          <a:extLst>
            <a:ext uri="{FF2B5EF4-FFF2-40B4-BE49-F238E27FC236}">
              <a16:creationId xmlns:a16="http://schemas.microsoft.com/office/drawing/2014/main" id="{C08CD2F2-F43B-4B84-AF47-7DAF07B58AAB}"/>
            </a:ext>
          </a:extLst>
        </xdr:cNvPr>
        <xdr:cNvSpPr/>
      </xdr:nvSpPr>
      <xdr:spPr>
        <a:xfrm>
          <a:off x="212835" y="2084392"/>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4097</xdr:colOff>
      <xdr:row>5</xdr:row>
      <xdr:rowOff>26186</xdr:rowOff>
    </xdr:from>
    <xdr:to>
      <xdr:col>3</xdr:col>
      <xdr:colOff>1816115</xdr:colOff>
      <xdr:row>5</xdr:row>
      <xdr:rowOff>307968</xdr:rowOff>
    </xdr:to>
    <xdr:sp macro="" textlink="">
      <xdr:nvSpPr>
        <xdr:cNvPr id="8" name="Rectangle 7">
          <a:hlinkClick xmlns:r="http://schemas.openxmlformats.org/officeDocument/2006/relationships" r:id="rId7"/>
          <a:extLst>
            <a:ext uri="{FF2B5EF4-FFF2-40B4-BE49-F238E27FC236}">
              <a16:creationId xmlns:a16="http://schemas.microsoft.com/office/drawing/2014/main" id="{4679E52A-1C76-4E41-B20A-8A8F5CAFD27C}"/>
            </a:ext>
          </a:extLst>
        </xdr:cNvPr>
        <xdr:cNvSpPr/>
      </xdr:nvSpPr>
      <xdr:spPr>
        <a:xfrm>
          <a:off x="2258347" y="1085842"/>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219995</xdr:colOff>
      <xdr:row>6</xdr:row>
      <xdr:rowOff>35712</xdr:rowOff>
    </xdr:from>
    <xdr:to>
      <xdr:col>3</xdr:col>
      <xdr:colOff>1809763</xdr:colOff>
      <xdr:row>6</xdr:row>
      <xdr:rowOff>317494</xdr:rowOff>
    </xdr:to>
    <xdr:sp macro="" textlink="">
      <xdr:nvSpPr>
        <xdr:cNvPr id="9" name="Rectangle 8">
          <a:hlinkClick xmlns:r="http://schemas.openxmlformats.org/officeDocument/2006/relationships" r:id="rId8"/>
          <a:extLst>
            <a:ext uri="{FF2B5EF4-FFF2-40B4-BE49-F238E27FC236}">
              <a16:creationId xmlns:a16="http://schemas.microsoft.com/office/drawing/2014/main" id="{C176B374-AFA7-4DC4-A86B-CDEA09D88080}"/>
            </a:ext>
          </a:extLst>
        </xdr:cNvPr>
        <xdr:cNvSpPr/>
      </xdr:nvSpPr>
      <xdr:spPr>
        <a:xfrm>
          <a:off x="2251995" y="1424775"/>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7269</xdr:colOff>
      <xdr:row>7</xdr:row>
      <xdr:rowOff>33335</xdr:rowOff>
    </xdr:from>
    <xdr:to>
      <xdr:col>3</xdr:col>
      <xdr:colOff>1819287</xdr:colOff>
      <xdr:row>7</xdr:row>
      <xdr:rowOff>315117</xdr:rowOff>
    </xdr:to>
    <xdr:sp macro="" textlink="">
      <xdr:nvSpPr>
        <xdr:cNvPr id="10" name="Rectangle 9">
          <a:hlinkClick xmlns:r="http://schemas.openxmlformats.org/officeDocument/2006/relationships" r:id="rId9"/>
          <a:extLst>
            <a:ext uri="{FF2B5EF4-FFF2-40B4-BE49-F238E27FC236}">
              <a16:creationId xmlns:a16="http://schemas.microsoft.com/office/drawing/2014/main" id="{E66FA309-9431-4AD7-8C3C-E2990DDA3C94}"/>
            </a:ext>
          </a:extLst>
        </xdr:cNvPr>
        <xdr:cNvSpPr/>
      </xdr:nvSpPr>
      <xdr:spPr>
        <a:xfrm>
          <a:off x="2261519" y="1751804"/>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5</xdr:row>
      <xdr:rowOff>15876</xdr:rowOff>
    </xdr:from>
    <xdr:to>
      <xdr:col>6</xdr:col>
      <xdr:colOff>1812018</xdr:colOff>
      <xdr:row>5</xdr:row>
      <xdr:rowOff>297658</xdr:rowOff>
    </xdr:to>
    <xdr:sp macro="" textlink="">
      <xdr:nvSpPr>
        <xdr:cNvPr id="11" name="Rectangle 10">
          <a:hlinkClick xmlns:r="http://schemas.openxmlformats.org/officeDocument/2006/relationships" r:id="rId10"/>
          <a:extLst>
            <a:ext uri="{FF2B5EF4-FFF2-40B4-BE49-F238E27FC236}">
              <a16:creationId xmlns:a16="http://schemas.microsoft.com/office/drawing/2014/main" id="{4CC32545-2949-45C1-AE89-DE3BDF97B4F1}"/>
            </a:ext>
          </a:extLst>
        </xdr:cNvPr>
        <xdr:cNvSpPr/>
      </xdr:nvSpPr>
      <xdr:spPr>
        <a:xfrm>
          <a:off x="4496594" y="1075532"/>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6</xdr:row>
      <xdr:rowOff>31752</xdr:rowOff>
    </xdr:from>
    <xdr:to>
      <xdr:col>6</xdr:col>
      <xdr:colOff>1812018</xdr:colOff>
      <xdr:row>6</xdr:row>
      <xdr:rowOff>313534</xdr:rowOff>
    </xdr:to>
    <xdr:sp macro="" textlink="">
      <xdr:nvSpPr>
        <xdr:cNvPr id="12" name="Rectangle 11">
          <a:hlinkClick xmlns:r="http://schemas.openxmlformats.org/officeDocument/2006/relationships" r:id="rId11"/>
          <a:extLst>
            <a:ext uri="{FF2B5EF4-FFF2-40B4-BE49-F238E27FC236}">
              <a16:creationId xmlns:a16="http://schemas.microsoft.com/office/drawing/2014/main" id="{A1EF3C91-7A2F-450D-AF9C-F81ECE3DF53D}"/>
            </a:ext>
          </a:extLst>
        </xdr:cNvPr>
        <xdr:cNvSpPr/>
      </xdr:nvSpPr>
      <xdr:spPr>
        <a:xfrm>
          <a:off x="4496594" y="1420815"/>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7</xdr:row>
      <xdr:rowOff>19845</xdr:rowOff>
    </xdr:from>
    <xdr:to>
      <xdr:col>6</xdr:col>
      <xdr:colOff>1812018</xdr:colOff>
      <xdr:row>7</xdr:row>
      <xdr:rowOff>301627</xdr:rowOff>
    </xdr:to>
    <xdr:sp macro="" textlink="">
      <xdr:nvSpPr>
        <xdr:cNvPr id="13" name="Rectangle 12">
          <a:hlinkClick xmlns:r="http://schemas.openxmlformats.org/officeDocument/2006/relationships" r:id="rId12"/>
          <a:extLst>
            <a:ext uri="{FF2B5EF4-FFF2-40B4-BE49-F238E27FC236}">
              <a16:creationId xmlns:a16="http://schemas.microsoft.com/office/drawing/2014/main" id="{DD062BAB-88AC-4A40-85DC-F7B0909ED587}"/>
            </a:ext>
          </a:extLst>
        </xdr:cNvPr>
        <xdr:cNvSpPr/>
      </xdr:nvSpPr>
      <xdr:spPr>
        <a:xfrm>
          <a:off x="4496594" y="1738314"/>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8</xdr:row>
      <xdr:rowOff>27783</xdr:rowOff>
    </xdr:from>
    <xdr:to>
      <xdr:col>6</xdr:col>
      <xdr:colOff>1812018</xdr:colOff>
      <xdr:row>8</xdr:row>
      <xdr:rowOff>309565</xdr:rowOff>
    </xdr:to>
    <xdr:sp macro="" textlink="">
      <xdr:nvSpPr>
        <xdr:cNvPr id="14" name="Rectangle 13">
          <a:hlinkClick xmlns:r="http://schemas.openxmlformats.org/officeDocument/2006/relationships" r:id="rId13"/>
          <a:extLst>
            <a:ext uri="{FF2B5EF4-FFF2-40B4-BE49-F238E27FC236}">
              <a16:creationId xmlns:a16="http://schemas.microsoft.com/office/drawing/2014/main" id="{50B0A90A-A85A-449F-A177-36F3E90E4EDB}"/>
            </a:ext>
          </a:extLst>
        </xdr:cNvPr>
        <xdr:cNvSpPr/>
      </xdr:nvSpPr>
      <xdr:spPr>
        <a:xfrm>
          <a:off x="4496594" y="2075658"/>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9</xdr:row>
      <xdr:rowOff>23814</xdr:rowOff>
    </xdr:from>
    <xdr:to>
      <xdr:col>6</xdr:col>
      <xdr:colOff>1812018</xdr:colOff>
      <xdr:row>9</xdr:row>
      <xdr:rowOff>305596</xdr:rowOff>
    </xdr:to>
    <xdr:sp macro="" textlink="">
      <xdr:nvSpPr>
        <xdr:cNvPr id="15" name="Rectangle 14">
          <a:hlinkClick xmlns:r="http://schemas.openxmlformats.org/officeDocument/2006/relationships" r:id="rId14"/>
          <a:extLst>
            <a:ext uri="{FF2B5EF4-FFF2-40B4-BE49-F238E27FC236}">
              <a16:creationId xmlns:a16="http://schemas.microsoft.com/office/drawing/2014/main" id="{84106662-8719-42CD-BE0B-47BEFD8F8561}"/>
            </a:ext>
          </a:extLst>
        </xdr:cNvPr>
        <xdr:cNvSpPr/>
      </xdr:nvSpPr>
      <xdr:spPr>
        <a:xfrm>
          <a:off x="4496594" y="2401095"/>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0</xdr:colOff>
      <xdr:row>10</xdr:row>
      <xdr:rowOff>27783</xdr:rowOff>
    </xdr:from>
    <xdr:to>
      <xdr:col>6</xdr:col>
      <xdr:colOff>1812018</xdr:colOff>
      <xdr:row>10</xdr:row>
      <xdr:rowOff>309565</xdr:rowOff>
    </xdr:to>
    <xdr:sp macro="" textlink="">
      <xdr:nvSpPr>
        <xdr:cNvPr id="16" name="Rectangle 15">
          <a:hlinkClick xmlns:r="http://schemas.openxmlformats.org/officeDocument/2006/relationships" r:id="rId15"/>
          <a:extLst>
            <a:ext uri="{FF2B5EF4-FFF2-40B4-BE49-F238E27FC236}">
              <a16:creationId xmlns:a16="http://schemas.microsoft.com/office/drawing/2014/main" id="{6CB91B54-7065-41A9-B345-FAEBE681AB9C}"/>
            </a:ext>
          </a:extLst>
        </xdr:cNvPr>
        <xdr:cNvSpPr/>
      </xdr:nvSpPr>
      <xdr:spPr>
        <a:xfrm>
          <a:off x="4496594" y="2734471"/>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5</xdr:row>
      <xdr:rowOff>31752</xdr:rowOff>
    </xdr:from>
    <xdr:to>
      <xdr:col>8</xdr:col>
      <xdr:colOff>1812018</xdr:colOff>
      <xdr:row>5</xdr:row>
      <xdr:rowOff>313534</xdr:rowOff>
    </xdr:to>
    <xdr:sp macro="" textlink="">
      <xdr:nvSpPr>
        <xdr:cNvPr id="17" name="Rectangle 16">
          <a:hlinkClick xmlns:r="http://schemas.openxmlformats.org/officeDocument/2006/relationships" r:id="rId16"/>
          <a:extLst>
            <a:ext uri="{FF2B5EF4-FFF2-40B4-BE49-F238E27FC236}">
              <a16:creationId xmlns:a16="http://schemas.microsoft.com/office/drawing/2014/main" id="{51742E9E-07D4-4F07-9654-C92787D90408}"/>
            </a:ext>
          </a:extLst>
        </xdr:cNvPr>
        <xdr:cNvSpPr/>
      </xdr:nvSpPr>
      <xdr:spPr>
        <a:xfrm>
          <a:off x="6540500" y="1091408"/>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6</xdr:row>
      <xdr:rowOff>31749</xdr:rowOff>
    </xdr:from>
    <xdr:to>
      <xdr:col>8</xdr:col>
      <xdr:colOff>1812018</xdr:colOff>
      <xdr:row>6</xdr:row>
      <xdr:rowOff>313531</xdr:rowOff>
    </xdr:to>
    <xdr:sp macro="" textlink="">
      <xdr:nvSpPr>
        <xdr:cNvPr id="20" name="Rectangle 19">
          <a:hlinkClick xmlns:r="http://schemas.openxmlformats.org/officeDocument/2006/relationships" r:id="rId17"/>
          <a:extLst>
            <a:ext uri="{FF2B5EF4-FFF2-40B4-BE49-F238E27FC236}">
              <a16:creationId xmlns:a16="http://schemas.microsoft.com/office/drawing/2014/main" id="{8AB2E901-2E5F-4C4E-8F84-6ADBA6583A65}"/>
            </a:ext>
          </a:extLst>
        </xdr:cNvPr>
        <xdr:cNvSpPr/>
      </xdr:nvSpPr>
      <xdr:spPr>
        <a:xfrm>
          <a:off x="6540500" y="1420812"/>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7</xdr:row>
      <xdr:rowOff>27783</xdr:rowOff>
    </xdr:from>
    <xdr:to>
      <xdr:col>8</xdr:col>
      <xdr:colOff>1812018</xdr:colOff>
      <xdr:row>7</xdr:row>
      <xdr:rowOff>309565</xdr:rowOff>
    </xdr:to>
    <xdr:sp macro="" textlink="">
      <xdr:nvSpPr>
        <xdr:cNvPr id="21" name="Rectangle 20">
          <a:hlinkClick xmlns:r="http://schemas.openxmlformats.org/officeDocument/2006/relationships" r:id="rId18"/>
          <a:extLst>
            <a:ext uri="{FF2B5EF4-FFF2-40B4-BE49-F238E27FC236}">
              <a16:creationId xmlns:a16="http://schemas.microsoft.com/office/drawing/2014/main" id="{5AA762F6-F7C7-4438-9784-1401E780932C}"/>
            </a:ext>
          </a:extLst>
        </xdr:cNvPr>
        <xdr:cNvSpPr/>
      </xdr:nvSpPr>
      <xdr:spPr>
        <a:xfrm>
          <a:off x="6540500" y="1746252"/>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8</xdr:row>
      <xdr:rowOff>27783</xdr:rowOff>
    </xdr:from>
    <xdr:to>
      <xdr:col>8</xdr:col>
      <xdr:colOff>1812018</xdr:colOff>
      <xdr:row>8</xdr:row>
      <xdr:rowOff>309565</xdr:rowOff>
    </xdr:to>
    <xdr:sp macro="" textlink="">
      <xdr:nvSpPr>
        <xdr:cNvPr id="22" name="Rectangle 21">
          <a:hlinkClick xmlns:r="http://schemas.openxmlformats.org/officeDocument/2006/relationships" r:id="rId19"/>
          <a:extLst>
            <a:ext uri="{FF2B5EF4-FFF2-40B4-BE49-F238E27FC236}">
              <a16:creationId xmlns:a16="http://schemas.microsoft.com/office/drawing/2014/main" id="{502782F2-B388-49B6-B769-6EBCD170A17B}"/>
            </a:ext>
          </a:extLst>
        </xdr:cNvPr>
        <xdr:cNvSpPr/>
      </xdr:nvSpPr>
      <xdr:spPr>
        <a:xfrm>
          <a:off x="6540500" y="2075658"/>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9</xdr:row>
      <xdr:rowOff>19845</xdr:rowOff>
    </xdr:from>
    <xdr:to>
      <xdr:col>8</xdr:col>
      <xdr:colOff>1812018</xdr:colOff>
      <xdr:row>9</xdr:row>
      <xdr:rowOff>301627</xdr:rowOff>
    </xdr:to>
    <xdr:sp macro="" textlink="">
      <xdr:nvSpPr>
        <xdr:cNvPr id="23" name="Rectangle 22">
          <a:hlinkClick xmlns:r="http://schemas.openxmlformats.org/officeDocument/2006/relationships" r:id="rId20"/>
          <a:extLst>
            <a:ext uri="{FF2B5EF4-FFF2-40B4-BE49-F238E27FC236}">
              <a16:creationId xmlns:a16="http://schemas.microsoft.com/office/drawing/2014/main" id="{64FCAE6A-B128-40CC-8BB7-42F59FE53084}"/>
            </a:ext>
          </a:extLst>
        </xdr:cNvPr>
        <xdr:cNvSpPr/>
      </xdr:nvSpPr>
      <xdr:spPr>
        <a:xfrm>
          <a:off x="6540500" y="2397126"/>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10</xdr:row>
      <xdr:rowOff>19845</xdr:rowOff>
    </xdr:from>
    <xdr:to>
      <xdr:col>8</xdr:col>
      <xdr:colOff>1812018</xdr:colOff>
      <xdr:row>10</xdr:row>
      <xdr:rowOff>301627</xdr:rowOff>
    </xdr:to>
    <xdr:sp macro="" textlink="">
      <xdr:nvSpPr>
        <xdr:cNvPr id="24" name="Rectangle 23">
          <a:hlinkClick xmlns:r="http://schemas.openxmlformats.org/officeDocument/2006/relationships" r:id="rId21"/>
          <a:extLst>
            <a:ext uri="{FF2B5EF4-FFF2-40B4-BE49-F238E27FC236}">
              <a16:creationId xmlns:a16="http://schemas.microsoft.com/office/drawing/2014/main" id="{55EB8344-7E77-4364-A32F-552629FF125E}"/>
            </a:ext>
          </a:extLst>
        </xdr:cNvPr>
        <xdr:cNvSpPr/>
      </xdr:nvSpPr>
      <xdr:spPr>
        <a:xfrm>
          <a:off x="6540500" y="2726533"/>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11</xdr:row>
      <xdr:rowOff>23814</xdr:rowOff>
    </xdr:from>
    <xdr:to>
      <xdr:col>8</xdr:col>
      <xdr:colOff>1812018</xdr:colOff>
      <xdr:row>11</xdr:row>
      <xdr:rowOff>305596</xdr:rowOff>
    </xdr:to>
    <xdr:sp macro="" textlink="">
      <xdr:nvSpPr>
        <xdr:cNvPr id="25" name="Rectangle 24">
          <a:hlinkClick xmlns:r="http://schemas.openxmlformats.org/officeDocument/2006/relationships" r:id="rId22"/>
          <a:extLst>
            <a:ext uri="{FF2B5EF4-FFF2-40B4-BE49-F238E27FC236}">
              <a16:creationId xmlns:a16="http://schemas.microsoft.com/office/drawing/2014/main" id="{9D8B0994-8E53-4E18-B168-58799D7528F7}"/>
            </a:ext>
          </a:extLst>
        </xdr:cNvPr>
        <xdr:cNvSpPr/>
      </xdr:nvSpPr>
      <xdr:spPr>
        <a:xfrm>
          <a:off x="6540500" y="3059908"/>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12</xdr:row>
      <xdr:rowOff>0</xdr:rowOff>
    </xdr:from>
    <xdr:to>
      <xdr:col>8</xdr:col>
      <xdr:colOff>1812018</xdr:colOff>
      <xdr:row>12</xdr:row>
      <xdr:rowOff>281782</xdr:rowOff>
    </xdr:to>
    <xdr:sp macro="" textlink="">
      <xdr:nvSpPr>
        <xdr:cNvPr id="26" name="Rectangle 25">
          <a:hlinkClick xmlns:r="http://schemas.openxmlformats.org/officeDocument/2006/relationships" r:id="rId23"/>
          <a:extLst>
            <a:ext uri="{FF2B5EF4-FFF2-40B4-BE49-F238E27FC236}">
              <a16:creationId xmlns:a16="http://schemas.microsoft.com/office/drawing/2014/main" id="{9277C06D-BF3A-4F4E-8BD0-8BE05CF40F47}"/>
            </a:ext>
          </a:extLst>
        </xdr:cNvPr>
        <xdr:cNvSpPr/>
      </xdr:nvSpPr>
      <xdr:spPr>
        <a:xfrm>
          <a:off x="6540500" y="3365500"/>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13</xdr:row>
      <xdr:rowOff>19845</xdr:rowOff>
    </xdr:from>
    <xdr:to>
      <xdr:col>8</xdr:col>
      <xdr:colOff>1812018</xdr:colOff>
      <xdr:row>13</xdr:row>
      <xdr:rowOff>301627</xdr:rowOff>
    </xdr:to>
    <xdr:sp macro="" textlink="">
      <xdr:nvSpPr>
        <xdr:cNvPr id="27" name="Rectangle 26">
          <a:hlinkClick xmlns:r="http://schemas.openxmlformats.org/officeDocument/2006/relationships" r:id="rId24"/>
          <a:extLst>
            <a:ext uri="{FF2B5EF4-FFF2-40B4-BE49-F238E27FC236}">
              <a16:creationId xmlns:a16="http://schemas.microsoft.com/office/drawing/2014/main" id="{0E150052-5C9D-40D7-B519-0C83FFFF1D77}"/>
            </a:ext>
          </a:extLst>
        </xdr:cNvPr>
        <xdr:cNvSpPr/>
      </xdr:nvSpPr>
      <xdr:spPr>
        <a:xfrm>
          <a:off x="6540500" y="3714751"/>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14</xdr:row>
      <xdr:rowOff>23814</xdr:rowOff>
    </xdr:from>
    <xdr:to>
      <xdr:col>8</xdr:col>
      <xdr:colOff>1812018</xdr:colOff>
      <xdr:row>14</xdr:row>
      <xdr:rowOff>305596</xdr:rowOff>
    </xdr:to>
    <xdr:sp macro="" textlink="">
      <xdr:nvSpPr>
        <xdr:cNvPr id="28" name="Rectangle 27">
          <a:hlinkClick xmlns:r="http://schemas.openxmlformats.org/officeDocument/2006/relationships" r:id="rId25"/>
          <a:extLst>
            <a:ext uri="{FF2B5EF4-FFF2-40B4-BE49-F238E27FC236}">
              <a16:creationId xmlns:a16="http://schemas.microsoft.com/office/drawing/2014/main" id="{DB2F9C50-DFF9-4D0F-90D3-CAA8EF6D2EB3}"/>
            </a:ext>
          </a:extLst>
        </xdr:cNvPr>
        <xdr:cNvSpPr/>
      </xdr:nvSpPr>
      <xdr:spPr>
        <a:xfrm>
          <a:off x="6540500" y="4048127"/>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0</xdr:colOff>
      <xdr:row>15</xdr:row>
      <xdr:rowOff>31752</xdr:rowOff>
    </xdr:from>
    <xdr:to>
      <xdr:col>8</xdr:col>
      <xdr:colOff>1812018</xdr:colOff>
      <xdr:row>15</xdr:row>
      <xdr:rowOff>313534</xdr:rowOff>
    </xdr:to>
    <xdr:sp macro="" textlink="">
      <xdr:nvSpPr>
        <xdr:cNvPr id="29" name="Rectangle 28">
          <a:hlinkClick xmlns:r="http://schemas.openxmlformats.org/officeDocument/2006/relationships" r:id="rId26"/>
          <a:extLst>
            <a:ext uri="{FF2B5EF4-FFF2-40B4-BE49-F238E27FC236}">
              <a16:creationId xmlns:a16="http://schemas.microsoft.com/office/drawing/2014/main" id="{3D0FCD1F-2D8D-45D3-AC15-0C9C52D96B21}"/>
            </a:ext>
          </a:extLst>
        </xdr:cNvPr>
        <xdr:cNvSpPr/>
      </xdr:nvSpPr>
      <xdr:spPr>
        <a:xfrm>
          <a:off x="6540500" y="4385471"/>
          <a:ext cx="1812018"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13</xdr:row>
      <xdr:rowOff>31750</xdr:rowOff>
    </xdr:from>
    <xdr:to>
      <xdr:col>3</xdr:col>
      <xdr:colOff>1797844</xdr:colOff>
      <xdr:row>13</xdr:row>
      <xdr:rowOff>313532</xdr:rowOff>
    </xdr:to>
    <xdr:sp macro="" textlink="">
      <xdr:nvSpPr>
        <xdr:cNvPr id="30" name="Rectangle 29">
          <a:hlinkClick xmlns:r="http://schemas.openxmlformats.org/officeDocument/2006/relationships" r:id="rId27"/>
          <a:extLst>
            <a:ext uri="{FF2B5EF4-FFF2-40B4-BE49-F238E27FC236}">
              <a16:creationId xmlns:a16="http://schemas.microsoft.com/office/drawing/2014/main" id="{869FD70D-5D05-4692-BCBF-C14A302F562D}"/>
            </a:ext>
          </a:extLst>
        </xdr:cNvPr>
        <xdr:cNvSpPr/>
      </xdr:nvSpPr>
      <xdr:spPr>
        <a:xfrm>
          <a:off x="210344" y="3726656"/>
          <a:ext cx="3841750"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14</xdr:row>
      <xdr:rowOff>35721</xdr:rowOff>
    </xdr:from>
    <xdr:to>
      <xdr:col>3</xdr:col>
      <xdr:colOff>1797844</xdr:colOff>
      <xdr:row>14</xdr:row>
      <xdr:rowOff>317503</xdr:rowOff>
    </xdr:to>
    <xdr:sp macro="" textlink="">
      <xdr:nvSpPr>
        <xdr:cNvPr id="31" name="Rectangle 30">
          <a:hlinkClick xmlns:r="http://schemas.openxmlformats.org/officeDocument/2006/relationships" r:id="rId28"/>
          <a:extLst>
            <a:ext uri="{FF2B5EF4-FFF2-40B4-BE49-F238E27FC236}">
              <a16:creationId xmlns:a16="http://schemas.microsoft.com/office/drawing/2014/main" id="{C889720D-1B9E-43A0-ABE9-AF564A448331}"/>
            </a:ext>
          </a:extLst>
        </xdr:cNvPr>
        <xdr:cNvSpPr/>
      </xdr:nvSpPr>
      <xdr:spPr>
        <a:xfrm>
          <a:off x="210344" y="4060034"/>
          <a:ext cx="3841750"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0</xdr:colOff>
      <xdr:row>15</xdr:row>
      <xdr:rowOff>31752</xdr:rowOff>
    </xdr:from>
    <xdr:to>
      <xdr:col>3</xdr:col>
      <xdr:colOff>1797844</xdr:colOff>
      <xdr:row>15</xdr:row>
      <xdr:rowOff>313534</xdr:rowOff>
    </xdr:to>
    <xdr:sp macro="" textlink="">
      <xdr:nvSpPr>
        <xdr:cNvPr id="32" name="Rectangle 31">
          <a:hlinkClick xmlns:r="http://schemas.openxmlformats.org/officeDocument/2006/relationships" r:id="rId29"/>
          <a:extLst>
            <a:ext uri="{FF2B5EF4-FFF2-40B4-BE49-F238E27FC236}">
              <a16:creationId xmlns:a16="http://schemas.microsoft.com/office/drawing/2014/main" id="{6EF63DC0-E7E2-4C79-943F-1B5ED4149346}"/>
            </a:ext>
          </a:extLst>
        </xdr:cNvPr>
        <xdr:cNvSpPr/>
      </xdr:nvSpPr>
      <xdr:spPr>
        <a:xfrm>
          <a:off x="210344" y="4385471"/>
          <a:ext cx="3841750"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1744647</xdr:colOff>
      <xdr:row>17</xdr:row>
      <xdr:rowOff>237322</xdr:rowOff>
    </xdr:from>
    <xdr:to>
      <xdr:col>8</xdr:col>
      <xdr:colOff>352778</xdr:colOff>
      <xdr:row>19</xdr:row>
      <xdr:rowOff>141111</xdr:rowOff>
    </xdr:to>
    <xdr:sp macro="" textlink="">
      <xdr:nvSpPr>
        <xdr:cNvPr id="19" name="Rectangle 18">
          <a:hlinkClick xmlns:r="http://schemas.openxmlformats.org/officeDocument/2006/relationships" r:id="rId30"/>
          <a:extLst>
            <a:ext uri="{FF2B5EF4-FFF2-40B4-BE49-F238E27FC236}">
              <a16:creationId xmlns:a16="http://schemas.microsoft.com/office/drawing/2014/main" id="{7C97B4FD-0030-A890-57D1-0D9D65490E9C}"/>
            </a:ext>
          </a:extLst>
        </xdr:cNvPr>
        <xdr:cNvSpPr/>
      </xdr:nvSpPr>
      <xdr:spPr>
        <a:xfrm>
          <a:off x="1956314" y="5214696"/>
          <a:ext cx="4945302" cy="519546"/>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n-US" sz="1100"/>
            <a:t>Click HERE to review your legal applicability and identify the legal requirements relevant to your workplace, activities, and operations.</a:t>
          </a:r>
        </a:p>
      </xdr:txBody>
    </xdr:sp>
    <xdr:clientData/>
  </xdr:twoCellAnchor>
  <xdr:twoCellAnchor>
    <xdr:from>
      <xdr:col>1</xdr:col>
      <xdr:colOff>12829</xdr:colOff>
      <xdr:row>12</xdr:row>
      <xdr:rowOff>31749</xdr:rowOff>
    </xdr:from>
    <xdr:to>
      <xdr:col>3</xdr:col>
      <xdr:colOff>1810673</xdr:colOff>
      <xdr:row>12</xdr:row>
      <xdr:rowOff>313531</xdr:rowOff>
    </xdr:to>
    <xdr:sp macro="" textlink="">
      <xdr:nvSpPr>
        <xdr:cNvPr id="33" name="Rectangle 32">
          <a:hlinkClick xmlns:r="http://schemas.openxmlformats.org/officeDocument/2006/relationships" r:id="rId31"/>
          <a:extLst>
            <a:ext uri="{FF2B5EF4-FFF2-40B4-BE49-F238E27FC236}">
              <a16:creationId xmlns:a16="http://schemas.microsoft.com/office/drawing/2014/main" id="{68469A57-6D43-40AC-BF40-F6B2AF3EF5D1}"/>
            </a:ext>
          </a:extLst>
        </xdr:cNvPr>
        <xdr:cNvSpPr/>
      </xdr:nvSpPr>
      <xdr:spPr>
        <a:xfrm>
          <a:off x="224496" y="3392759"/>
          <a:ext cx="3843955" cy="281782"/>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0</xdr:row>
      <xdr:rowOff>0</xdr:rowOff>
    </xdr:from>
    <xdr:to>
      <xdr:col>4</xdr:col>
      <xdr:colOff>164688</xdr:colOff>
      <xdr:row>1</xdr:row>
      <xdr:rowOff>32106</xdr:rowOff>
    </xdr:to>
    <xdr:grpSp>
      <xdr:nvGrpSpPr>
        <xdr:cNvPr id="2" name="Group 1">
          <a:extLst>
            <a:ext uri="{FF2B5EF4-FFF2-40B4-BE49-F238E27FC236}">
              <a16:creationId xmlns:a16="http://schemas.microsoft.com/office/drawing/2014/main" id="{ADA9AD2F-23A4-458B-9E15-47F41F6EDF5F}"/>
            </a:ext>
          </a:extLst>
        </xdr:cNvPr>
        <xdr:cNvGrpSpPr/>
      </xdr:nvGrpSpPr>
      <xdr:grpSpPr>
        <a:xfrm>
          <a:off x="7893050" y="0"/>
          <a:ext cx="774288" cy="286106"/>
          <a:chOff x="7108587" y="129950"/>
          <a:chExt cx="884099" cy="287016"/>
        </a:xfrm>
      </xdr:grpSpPr>
      <xdr:pic>
        <xdr:nvPicPr>
          <xdr:cNvPr id="3" name="Graphic 2" descr="Rewind with solid fill">
            <a:hlinkClick xmlns:r="http://schemas.openxmlformats.org/officeDocument/2006/relationships" r:id="rId1"/>
            <a:extLst>
              <a:ext uri="{FF2B5EF4-FFF2-40B4-BE49-F238E27FC236}">
                <a16:creationId xmlns:a16="http://schemas.microsoft.com/office/drawing/2014/main" id="{325DE87F-AE2F-CBFF-73F3-456588CCA446}"/>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108587" y="129950"/>
            <a:ext cx="539750" cy="287016"/>
          </a:xfrm>
          <a:prstGeom prst="rect">
            <a:avLst/>
          </a:prstGeom>
        </xdr:spPr>
      </xdr:pic>
      <xdr:sp macro="" textlink="">
        <xdr:nvSpPr>
          <xdr:cNvPr id="4" name="TextBox 3">
            <a:hlinkClick xmlns:r="http://schemas.openxmlformats.org/officeDocument/2006/relationships" r:id="rId1"/>
            <a:extLst>
              <a:ext uri="{FF2B5EF4-FFF2-40B4-BE49-F238E27FC236}">
                <a16:creationId xmlns:a16="http://schemas.microsoft.com/office/drawing/2014/main" id="{9421E887-F0CC-612D-9184-A8546C8FC0DB}"/>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23</xdr:col>
      <xdr:colOff>180975</xdr:colOff>
      <xdr:row>54</xdr:row>
      <xdr:rowOff>104775</xdr:rowOff>
    </xdr:to>
    <xdr:pic>
      <xdr:nvPicPr>
        <xdr:cNvPr id="3" name="Picture 2">
          <a:extLst>
            <a:ext uri="{FF2B5EF4-FFF2-40B4-BE49-F238E27FC236}">
              <a16:creationId xmlns:a16="http://schemas.microsoft.com/office/drawing/2014/main" id="{2F5FFD97-8A00-B19E-FCE5-7FA8F94D05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4201775" cy="100488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19</xdr:row>
      <xdr:rowOff>114300</xdr:rowOff>
    </xdr:to>
    <xdr:sp macro="" textlink="">
      <xdr:nvSpPr>
        <xdr:cNvPr id="3" name="Rectangle: Rounded Corners 2">
          <a:extLst>
            <a:ext uri="{FF2B5EF4-FFF2-40B4-BE49-F238E27FC236}">
              <a16:creationId xmlns:a16="http://schemas.microsoft.com/office/drawing/2014/main" id="{5BA3C7BE-878A-F6DF-285D-009B989231EE}"/>
            </a:ext>
          </a:extLst>
        </xdr:cNvPr>
        <xdr:cNvSpPr/>
      </xdr:nvSpPr>
      <xdr:spPr>
        <a:xfrm>
          <a:off x="0" y="0"/>
          <a:ext cx="1841776" cy="150622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69850</xdr:rowOff>
    </xdr:from>
    <xdr:to>
      <xdr:col>0</xdr:col>
      <xdr:colOff>1716134</xdr:colOff>
      <xdr:row>3</xdr:row>
      <xdr:rowOff>171819</xdr:rowOff>
    </xdr:to>
    <xdr:grpSp>
      <xdr:nvGrpSpPr>
        <xdr:cNvPr id="4" name="Group 3">
          <a:extLst>
            <a:ext uri="{FF2B5EF4-FFF2-40B4-BE49-F238E27FC236}">
              <a16:creationId xmlns:a16="http://schemas.microsoft.com/office/drawing/2014/main" id="{F185142D-C6BF-7F46-4B41-D056B3CC3A96}"/>
            </a:ext>
          </a:extLst>
        </xdr:cNvPr>
        <xdr:cNvGrpSpPr/>
      </xdr:nvGrpSpPr>
      <xdr:grpSpPr>
        <a:xfrm>
          <a:off x="11239" y="457200"/>
          <a:ext cx="1704895" cy="476619"/>
          <a:chOff x="17891" y="510932"/>
          <a:chExt cx="1724265" cy="444500"/>
        </a:xfrm>
      </xdr:grpSpPr>
      <xdr:sp macro="" textlink="">
        <xdr:nvSpPr>
          <xdr:cNvPr id="705" name="Rectangle: Rounded Corners 704">
            <a:extLst>
              <a:ext uri="{FF2B5EF4-FFF2-40B4-BE49-F238E27FC236}">
                <a16:creationId xmlns:a16="http://schemas.microsoft.com/office/drawing/2014/main" id="{D4F9B396-853E-233F-1638-8CF6D1DFB114}"/>
              </a:ext>
            </a:extLst>
          </xdr:cNvPr>
          <xdr:cNvSpPr/>
        </xdr:nvSpPr>
        <xdr:spPr>
          <a:xfrm>
            <a:off x="17891" y="510932"/>
            <a:ext cx="1708150" cy="444500"/>
          </a:xfrm>
          <a:prstGeom prst="roundRect">
            <a:avLst>
              <a:gd name="adj" fmla="val 6708"/>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06" name="TextBox 705">
            <a:hlinkClick xmlns:r="http://schemas.openxmlformats.org/officeDocument/2006/relationships" r:id="rId1"/>
            <a:extLst>
              <a:ext uri="{FF2B5EF4-FFF2-40B4-BE49-F238E27FC236}">
                <a16:creationId xmlns:a16="http://schemas.microsoft.com/office/drawing/2014/main" id="{3AF60668-6051-E0F3-9257-375499A9842E}"/>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OSHA             </a:t>
            </a:r>
            <a:endParaRPr lang="en-US" sz="1600">
              <a:solidFill>
                <a:schemeClr val="bg1"/>
              </a:solidFill>
            </a:endParaRPr>
          </a:p>
        </xdr:txBody>
      </xdr:sp>
      <xdr:sp macro="" textlink="">
        <xdr:nvSpPr>
          <xdr:cNvPr id="707" name="Oval 706">
            <a:extLst>
              <a:ext uri="{FF2B5EF4-FFF2-40B4-BE49-F238E27FC236}">
                <a16:creationId xmlns:a16="http://schemas.microsoft.com/office/drawing/2014/main" id="{11373357-2A30-51AD-55E3-9C6391146F54}"/>
              </a:ext>
            </a:extLst>
          </xdr:cNvPr>
          <xdr:cNvSpPr/>
        </xdr:nvSpPr>
        <xdr:spPr>
          <a:xfrm>
            <a:off x="112347" y="581575"/>
            <a:ext cx="285750" cy="289718"/>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26865</xdr:rowOff>
    </xdr:to>
    <xdr:pic>
      <xdr:nvPicPr>
        <xdr:cNvPr id="5" name="Graphic 4" descr="Home with solid fill">
          <a:hlinkClick xmlns:r="http://schemas.openxmlformats.org/officeDocument/2006/relationships" r:id="rId2"/>
          <a:extLst>
            <a:ext uri="{FF2B5EF4-FFF2-40B4-BE49-F238E27FC236}">
              <a16:creationId xmlns:a16="http://schemas.microsoft.com/office/drawing/2014/main" id="{4BDA02F7-6EE2-E8DE-5443-98C9C1A62A76}"/>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14215"/>
        </a:xfrm>
        <a:prstGeom prst="rect">
          <a:avLst/>
        </a:prstGeom>
      </xdr:spPr>
    </xdr:pic>
    <xdr:clientData/>
  </xdr:twoCellAnchor>
  <xdr:twoCellAnchor>
    <xdr:from>
      <xdr:col>0</xdr:col>
      <xdr:colOff>10917</xdr:colOff>
      <xdr:row>3</xdr:row>
      <xdr:rowOff>195838</xdr:rowOff>
    </xdr:from>
    <xdr:to>
      <xdr:col>0</xdr:col>
      <xdr:colOff>1715812</xdr:colOff>
      <xdr:row>3</xdr:row>
      <xdr:rowOff>647978</xdr:rowOff>
    </xdr:to>
    <xdr:grpSp>
      <xdr:nvGrpSpPr>
        <xdr:cNvPr id="6" name="Group 5">
          <a:extLst>
            <a:ext uri="{FF2B5EF4-FFF2-40B4-BE49-F238E27FC236}">
              <a16:creationId xmlns:a16="http://schemas.microsoft.com/office/drawing/2014/main" id="{C37573C2-D71B-2283-52FA-60D8E7233EFD}"/>
            </a:ext>
          </a:extLst>
        </xdr:cNvPr>
        <xdr:cNvGrpSpPr/>
      </xdr:nvGrpSpPr>
      <xdr:grpSpPr>
        <a:xfrm>
          <a:off x="10917" y="957838"/>
          <a:ext cx="1704895" cy="452140"/>
          <a:chOff x="23753" y="989136"/>
          <a:chExt cx="1724265" cy="444500"/>
        </a:xfrm>
      </xdr:grpSpPr>
      <xdr:sp macro="" textlink="">
        <xdr:nvSpPr>
          <xdr:cNvPr id="702" name="Rectangle: Rounded Corners 701">
            <a:extLst>
              <a:ext uri="{FF2B5EF4-FFF2-40B4-BE49-F238E27FC236}">
                <a16:creationId xmlns:a16="http://schemas.microsoft.com/office/drawing/2014/main" id="{15147F53-D367-0A03-B567-69FA2BF119DD}"/>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03" name="TextBox 702">
            <a:hlinkClick xmlns:r="http://schemas.openxmlformats.org/officeDocument/2006/relationships" r:id="rId5"/>
            <a:extLst>
              <a:ext uri="{FF2B5EF4-FFF2-40B4-BE49-F238E27FC236}">
                <a16:creationId xmlns:a16="http://schemas.microsoft.com/office/drawing/2014/main" id="{105A30BB-7941-8572-8583-1827CA528F5D}"/>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704" name="Oval 703">
            <a:extLst>
              <a:ext uri="{FF2B5EF4-FFF2-40B4-BE49-F238E27FC236}">
                <a16:creationId xmlns:a16="http://schemas.microsoft.com/office/drawing/2014/main" id="{231A55BA-0D1B-A00F-E83E-122EF198AAF9}"/>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73344</xdr:rowOff>
    </xdr:from>
    <xdr:to>
      <xdr:col>0</xdr:col>
      <xdr:colOff>1717958</xdr:colOff>
      <xdr:row>4</xdr:row>
      <xdr:rowOff>526861</xdr:rowOff>
    </xdr:to>
    <xdr:grpSp>
      <xdr:nvGrpSpPr>
        <xdr:cNvPr id="7" name="Group 6">
          <a:extLst>
            <a:ext uri="{FF2B5EF4-FFF2-40B4-BE49-F238E27FC236}">
              <a16:creationId xmlns:a16="http://schemas.microsoft.com/office/drawing/2014/main" id="{C6B4AD8B-562F-0B81-2D73-499C2EB4A079}"/>
            </a:ext>
          </a:extLst>
        </xdr:cNvPr>
        <xdr:cNvGrpSpPr/>
      </xdr:nvGrpSpPr>
      <xdr:grpSpPr>
        <a:xfrm>
          <a:off x="13063" y="1946594"/>
          <a:ext cx="1704895" cy="453517"/>
          <a:chOff x="13593" y="1983238"/>
          <a:chExt cx="1722818" cy="443309"/>
        </a:xfrm>
      </xdr:grpSpPr>
      <xdr:sp macro="" textlink="">
        <xdr:nvSpPr>
          <xdr:cNvPr id="699" name="Rectangle: Rounded Corners 698">
            <a:extLst>
              <a:ext uri="{FF2B5EF4-FFF2-40B4-BE49-F238E27FC236}">
                <a16:creationId xmlns:a16="http://schemas.microsoft.com/office/drawing/2014/main" id="{BFE51705-19A6-DDC5-AF8E-7A6E638A5D7E}"/>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00" name="TextBox 699">
            <a:hlinkClick xmlns:r="http://schemas.openxmlformats.org/officeDocument/2006/relationships" r:id="rId6"/>
            <a:extLst>
              <a:ext uri="{FF2B5EF4-FFF2-40B4-BE49-F238E27FC236}">
                <a16:creationId xmlns:a16="http://schemas.microsoft.com/office/drawing/2014/main" id="{B1194B52-CEF8-110F-CCB9-8BBCEA7213F6}"/>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701" name="Oval 700">
            <a:extLst>
              <a:ext uri="{FF2B5EF4-FFF2-40B4-BE49-F238E27FC236}">
                <a16:creationId xmlns:a16="http://schemas.microsoft.com/office/drawing/2014/main" id="{D99A32AE-9422-8353-1AFF-15A86481A8FF}"/>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4</xdr:row>
      <xdr:rowOff>548787</xdr:rowOff>
    </xdr:from>
    <xdr:to>
      <xdr:col>0</xdr:col>
      <xdr:colOff>1715516</xdr:colOff>
      <xdr:row>5</xdr:row>
      <xdr:rowOff>79693</xdr:rowOff>
    </xdr:to>
    <xdr:grpSp>
      <xdr:nvGrpSpPr>
        <xdr:cNvPr id="8" name="Group 7">
          <a:extLst>
            <a:ext uri="{FF2B5EF4-FFF2-40B4-BE49-F238E27FC236}">
              <a16:creationId xmlns:a16="http://schemas.microsoft.com/office/drawing/2014/main" id="{0679AD36-9E2F-5A39-0B09-8A941E41F068}"/>
            </a:ext>
          </a:extLst>
        </xdr:cNvPr>
        <xdr:cNvGrpSpPr/>
      </xdr:nvGrpSpPr>
      <xdr:grpSpPr>
        <a:xfrm>
          <a:off x="12799" y="2422037"/>
          <a:ext cx="1702717" cy="451656"/>
          <a:chOff x="13317" y="2459028"/>
          <a:chExt cx="1720554" cy="441552"/>
        </a:xfrm>
      </xdr:grpSpPr>
      <xdr:sp macro="" textlink="">
        <xdr:nvSpPr>
          <xdr:cNvPr id="696" name="Rectangle: Rounded Corners 695">
            <a:extLst>
              <a:ext uri="{FF2B5EF4-FFF2-40B4-BE49-F238E27FC236}">
                <a16:creationId xmlns:a16="http://schemas.microsoft.com/office/drawing/2014/main" id="{A6BCC55E-6C5E-621E-B4AE-3A416AF0A9CE}"/>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97" name="TextBox 696">
            <a:hlinkClick xmlns:r="http://schemas.openxmlformats.org/officeDocument/2006/relationships" r:id="rId7"/>
            <a:extLst>
              <a:ext uri="{FF2B5EF4-FFF2-40B4-BE49-F238E27FC236}">
                <a16:creationId xmlns:a16="http://schemas.microsoft.com/office/drawing/2014/main" id="{07D29985-179A-C219-E27F-E838186ABAC9}"/>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698" name="Oval 697">
            <a:extLst>
              <a:ext uri="{FF2B5EF4-FFF2-40B4-BE49-F238E27FC236}">
                <a16:creationId xmlns:a16="http://schemas.microsoft.com/office/drawing/2014/main" id="{CF9AD03D-A100-DC57-22EF-2DB4913A72B9}"/>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5</xdr:row>
      <xdr:rowOff>94154</xdr:rowOff>
    </xdr:from>
    <xdr:to>
      <xdr:col>0</xdr:col>
      <xdr:colOff>1713076</xdr:colOff>
      <xdr:row>5</xdr:row>
      <xdr:rowOff>558846</xdr:rowOff>
    </xdr:to>
    <xdr:grpSp>
      <xdr:nvGrpSpPr>
        <xdr:cNvPr id="9" name="Group 8">
          <a:extLst>
            <a:ext uri="{FF2B5EF4-FFF2-40B4-BE49-F238E27FC236}">
              <a16:creationId xmlns:a16="http://schemas.microsoft.com/office/drawing/2014/main" id="{5DEC89ED-9EF8-D697-38EE-89DB230F9F49}"/>
            </a:ext>
          </a:extLst>
        </xdr:cNvPr>
        <xdr:cNvGrpSpPr/>
      </xdr:nvGrpSpPr>
      <xdr:grpSpPr>
        <a:xfrm>
          <a:off x="8181" y="2888154"/>
          <a:ext cx="1704895" cy="464692"/>
          <a:chOff x="8513" y="2976867"/>
          <a:chExt cx="1722818" cy="451725"/>
        </a:xfrm>
      </xdr:grpSpPr>
      <xdr:sp macro="" textlink="">
        <xdr:nvSpPr>
          <xdr:cNvPr id="692" name="Rectangle: Rounded Corners 691">
            <a:extLst>
              <a:ext uri="{FF2B5EF4-FFF2-40B4-BE49-F238E27FC236}">
                <a16:creationId xmlns:a16="http://schemas.microsoft.com/office/drawing/2014/main" id="{2F677DDF-F882-C3EB-7684-F149D1DFE3FD}"/>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93" name="TextBox 692">
            <a:hlinkClick xmlns:r="http://schemas.openxmlformats.org/officeDocument/2006/relationships" r:id="rId7"/>
            <a:extLst>
              <a:ext uri="{FF2B5EF4-FFF2-40B4-BE49-F238E27FC236}">
                <a16:creationId xmlns:a16="http://schemas.microsoft.com/office/drawing/2014/main" id="{DF5B119E-6827-1936-9575-BAEEC15EE088}"/>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694" name="Oval 693">
            <a:extLst>
              <a:ext uri="{FF2B5EF4-FFF2-40B4-BE49-F238E27FC236}">
                <a16:creationId xmlns:a16="http://schemas.microsoft.com/office/drawing/2014/main" id="{D75F2BAB-F937-9766-6BA6-1254558CE6D3}"/>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5" name="TextBox 694">
            <a:hlinkClick xmlns:r="http://schemas.openxmlformats.org/officeDocument/2006/relationships" r:id="rId8"/>
            <a:extLst>
              <a:ext uri="{FF2B5EF4-FFF2-40B4-BE49-F238E27FC236}">
                <a16:creationId xmlns:a16="http://schemas.microsoft.com/office/drawing/2014/main" id="{F5607084-72D5-E4B2-453B-02ECEC71C98A}"/>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3</xdr:row>
      <xdr:rowOff>670562</xdr:rowOff>
    </xdr:from>
    <xdr:to>
      <xdr:col>0</xdr:col>
      <xdr:colOff>1716667</xdr:colOff>
      <xdr:row>4</xdr:row>
      <xdr:rowOff>52455</xdr:rowOff>
    </xdr:to>
    <xdr:grpSp>
      <xdr:nvGrpSpPr>
        <xdr:cNvPr id="10" name="Group 9">
          <a:extLst>
            <a:ext uri="{FF2B5EF4-FFF2-40B4-BE49-F238E27FC236}">
              <a16:creationId xmlns:a16="http://schemas.microsoft.com/office/drawing/2014/main" id="{C546A0E2-CBFB-9F26-03B9-E40FFF622605}"/>
            </a:ext>
          </a:extLst>
        </xdr:cNvPr>
        <xdr:cNvGrpSpPr/>
      </xdr:nvGrpSpPr>
      <xdr:grpSpPr>
        <a:xfrm>
          <a:off x="11772" y="1432562"/>
          <a:ext cx="1704895" cy="493143"/>
          <a:chOff x="21544" y="1467318"/>
          <a:chExt cx="1724265" cy="477164"/>
        </a:xfrm>
      </xdr:grpSpPr>
      <xdr:sp macro="" textlink="">
        <xdr:nvSpPr>
          <xdr:cNvPr id="689" name="Rectangle: Rounded Corners 688">
            <a:extLst>
              <a:ext uri="{FF2B5EF4-FFF2-40B4-BE49-F238E27FC236}">
                <a16:creationId xmlns:a16="http://schemas.microsoft.com/office/drawing/2014/main" id="{2F5E1C5E-593D-C8E3-0464-66D5D20783DE}"/>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90" name="TextBox 689">
            <a:hlinkClick xmlns:r="http://schemas.openxmlformats.org/officeDocument/2006/relationships" r:id="rId9"/>
            <a:extLst>
              <a:ext uri="{FF2B5EF4-FFF2-40B4-BE49-F238E27FC236}">
                <a16:creationId xmlns:a16="http://schemas.microsoft.com/office/drawing/2014/main" id="{BA95F290-B9F0-3F25-9EC0-CA828B86A9C1}"/>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691" name="Oval 690">
            <a:extLst>
              <a:ext uri="{FF2B5EF4-FFF2-40B4-BE49-F238E27FC236}">
                <a16:creationId xmlns:a16="http://schemas.microsoft.com/office/drawing/2014/main" id="{0B884964-3B74-1C88-AAFD-DBA8227F4E5E}"/>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5</xdr:row>
      <xdr:rowOff>572198</xdr:rowOff>
    </xdr:from>
    <xdr:to>
      <xdr:col>0</xdr:col>
      <xdr:colOff>1713094</xdr:colOff>
      <xdr:row>6</xdr:row>
      <xdr:rowOff>141127</xdr:rowOff>
    </xdr:to>
    <xdr:grpSp>
      <xdr:nvGrpSpPr>
        <xdr:cNvPr id="11" name="Group 10">
          <a:extLst>
            <a:ext uri="{FF2B5EF4-FFF2-40B4-BE49-F238E27FC236}">
              <a16:creationId xmlns:a16="http://schemas.microsoft.com/office/drawing/2014/main" id="{04D94E4C-C331-CAAC-7976-CBD9AB32CC69}"/>
            </a:ext>
          </a:extLst>
        </xdr:cNvPr>
        <xdr:cNvGrpSpPr/>
      </xdr:nvGrpSpPr>
      <xdr:grpSpPr>
        <a:xfrm>
          <a:off x="8199" y="3366198"/>
          <a:ext cx="1704895" cy="489679"/>
          <a:chOff x="8532" y="3456662"/>
          <a:chExt cx="1722818" cy="482122"/>
        </a:xfrm>
      </xdr:grpSpPr>
      <xdr:sp macro="" textlink="">
        <xdr:nvSpPr>
          <xdr:cNvPr id="685" name="Rectangle: Rounded Corners 684">
            <a:extLst>
              <a:ext uri="{FF2B5EF4-FFF2-40B4-BE49-F238E27FC236}">
                <a16:creationId xmlns:a16="http://schemas.microsoft.com/office/drawing/2014/main" id="{792D6F9A-FBDA-AF96-9279-9DB00F048AFE}"/>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86" name="TextBox 685">
            <a:hlinkClick xmlns:r="http://schemas.openxmlformats.org/officeDocument/2006/relationships" r:id="rId10"/>
            <a:extLst>
              <a:ext uri="{FF2B5EF4-FFF2-40B4-BE49-F238E27FC236}">
                <a16:creationId xmlns:a16="http://schemas.microsoft.com/office/drawing/2014/main" id="{F2CDA9F1-A372-77CA-B1DF-D961A49C60B4}"/>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687" name="Oval 686">
            <a:extLst>
              <a:ext uri="{FF2B5EF4-FFF2-40B4-BE49-F238E27FC236}">
                <a16:creationId xmlns:a16="http://schemas.microsoft.com/office/drawing/2014/main" id="{EF6B50D7-D0BC-AF44-2EE4-ED57B1BAD6BA}"/>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88" name="TextBox 687">
            <a:hlinkClick xmlns:r="http://schemas.openxmlformats.org/officeDocument/2006/relationships" r:id="rId10"/>
            <a:extLst>
              <a:ext uri="{FF2B5EF4-FFF2-40B4-BE49-F238E27FC236}">
                <a16:creationId xmlns:a16="http://schemas.microsoft.com/office/drawing/2014/main" id="{D0723D5E-9C2D-361B-6D7A-EC2E884C24E1}"/>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6</xdr:row>
      <xdr:rowOff>154088</xdr:rowOff>
    </xdr:from>
    <xdr:to>
      <xdr:col>0</xdr:col>
      <xdr:colOff>1713246</xdr:colOff>
      <xdr:row>6</xdr:row>
      <xdr:rowOff>621778</xdr:rowOff>
    </xdr:to>
    <xdr:grpSp>
      <xdr:nvGrpSpPr>
        <xdr:cNvPr id="12" name="Group 11">
          <a:extLst>
            <a:ext uri="{FF2B5EF4-FFF2-40B4-BE49-F238E27FC236}">
              <a16:creationId xmlns:a16="http://schemas.microsoft.com/office/drawing/2014/main" id="{076E5F45-0019-597A-04BD-C22E21177180}"/>
            </a:ext>
          </a:extLst>
        </xdr:cNvPr>
        <xdr:cNvGrpSpPr/>
      </xdr:nvGrpSpPr>
      <xdr:grpSpPr>
        <a:xfrm>
          <a:off x="6077" y="3868838"/>
          <a:ext cx="1707169" cy="467690"/>
          <a:chOff x="6323" y="3964228"/>
          <a:chExt cx="1725184" cy="454551"/>
        </a:xfrm>
      </xdr:grpSpPr>
      <xdr:sp macro="" textlink="">
        <xdr:nvSpPr>
          <xdr:cNvPr id="681" name="Rectangle: Rounded Corners 680">
            <a:extLst>
              <a:ext uri="{FF2B5EF4-FFF2-40B4-BE49-F238E27FC236}">
                <a16:creationId xmlns:a16="http://schemas.microsoft.com/office/drawing/2014/main" id="{EBD67AF1-66E1-3FA9-970A-F0F31F0E5FB2}"/>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82" name="TextBox 681">
            <a:hlinkClick xmlns:r="http://schemas.openxmlformats.org/officeDocument/2006/relationships" r:id="rId11"/>
            <a:extLst>
              <a:ext uri="{FF2B5EF4-FFF2-40B4-BE49-F238E27FC236}">
                <a16:creationId xmlns:a16="http://schemas.microsoft.com/office/drawing/2014/main" id="{D4E54A5C-91AE-36B9-370F-DBE10AB0A769}"/>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3" name="Oval 682">
            <a:extLst>
              <a:ext uri="{FF2B5EF4-FFF2-40B4-BE49-F238E27FC236}">
                <a16:creationId xmlns:a16="http://schemas.microsoft.com/office/drawing/2014/main" id="{EA3BAB36-67E1-3C8C-B013-BBA12FA5B4A0}"/>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84" name="TextBox 683">
            <a:hlinkClick xmlns:r="http://schemas.openxmlformats.org/officeDocument/2006/relationships" r:id="rId11"/>
            <a:extLst>
              <a:ext uri="{FF2B5EF4-FFF2-40B4-BE49-F238E27FC236}">
                <a16:creationId xmlns:a16="http://schemas.microsoft.com/office/drawing/2014/main" id="{9D2FF200-194D-208C-7F3A-082B00D0EA4C}"/>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6</xdr:row>
      <xdr:rowOff>639229</xdr:rowOff>
    </xdr:from>
    <xdr:to>
      <xdr:col>0</xdr:col>
      <xdr:colOff>1709917</xdr:colOff>
      <xdr:row>7</xdr:row>
      <xdr:rowOff>219398</xdr:rowOff>
    </xdr:to>
    <xdr:grpSp>
      <xdr:nvGrpSpPr>
        <xdr:cNvPr id="13" name="Group 12">
          <a:extLst>
            <a:ext uri="{FF2B5EF4-FFF2-40B4-BE49-F238E27FC236}">
              <a16:creationId xmlns:a16="http://schemas.microsoft.com/office/drawing/2014/main" id="{DBFEFBCF-B935-9E0D-4773-FC21537DBEDC}"/>
            </a:ext>
          </a:extLst>
        </xdr:cNvPr>
        <xdr:cNvGrpSpPr/>
      </xdr:nvGrpSpPr>
      <xdr:grpSpPr>
        <a:xfrm>
          <a:off x="2748" y="4353979"/>
          <a:ext cx="1707169" cy="500919"/>
          <a:chOff x="2860" y="4442071"/>
          <a:chExt cx="1725184" cy="485874"/>
        </a:xfrm>
      </xdr:grpSpPr>
      <xdr:sp macro="" textlink="">
        <xdr:nvSpPr>
          <xdr:cNvPr id="677" name="Rectangle: Rounded Corners 676">
            <a:extLst>
              <a:ext uri="{FF2B5EF4-FFF2-40B4-BE49-F238E27FC236}">
                <a16:creationId xmlns:a16="http://schemas.microsoft.com/office/drawing/2014/main" id="{2A8B807E-1D54-53AD-D7B8-1E067DBF20B7}"/>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8" name="TextBox 677">
            <a:hlinkClick xmlns:r="http://schemas.openxmlformats.org/officeDocument/2006/relationships" r:id="rId12"/>
            <a:extLst>
              <a:ext uri="{FF2B5EF4-FFF2-40B4-BE49-F238E27FC236}">
                <a16:creationId xmlns:a16="http://schemas.microsoft.com/office/drawing/2014/main" id="{A21F1C25-25BD-1BB0-50F2-DF538BA6FA42}"/>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79" name="Oval 678">
            <a:extLst>
              <a:ext uri="{FF2B5EF4-FFF2-40B4-BE49-F238E27FC236}">
                <a16:creationId xmlns:a16="http://schemas.microsoft.com/office/drawing/2014/main" id="{96D6CA34-F739-A539-6254-B4DA98CE8216}"/>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80" name="TextBox 679">
            <a:hlinkClick xmlns:r="http://schemas.openxmlformats.org/officeDocument/2006/relationships" r:id="rId12"/>
            <a:extLst>
              <a:ext uri="{FF2B5EF4-FFF2-40B4-BE49-F238E27FC236}">
                <a16:creationId xmlns:a16="http://schemas.microsoft.com/office/drawing/2014/main" id="{69DF4CE0-D8C8-E744-A717-641A640D4D05}"/>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7</xdr:row>
      <xdr:rowOff>242022</xdr:rowOff>
    </xdr:from>
    <xdr:to>
      <xdr:col>0</xdr:col>
      <xdr:colOff>1709302</xdr:colOff>
      <xdr:row>7</xdr:row>
      <xdr:rowOff>704170</xdr:rowOff>
    </xdr:to>
    <xdr:grpSp>
      <xdr:nvGrpSpPr>
        <xdr:cNvPr id="14" name="Group 13">
          <a:extLst>
            <a:ext uri="{FF2B5EF4-FFF2-40B4-BE49-F238E27FC236}">
              <a16:creationId xmlns:a16="http://schemas.microsoft.com/office/drawing/2014/main" id="{80676ED1-52DD-DC05-D77B-EAD507858E80}"/>
            </a:ext>
          </a:extLst>
        </xdr:cNvPr>
        <xdr:cNvGrpSpPr/>
      </xdr:nvGrpSpPr>
      <xdr:grpSpPr>
        <a:xfrm>
          <a:off x="2133" y="4877522"/>
          <a:ext cx="1707169" cy="462148"/>
          <a:chOff x="2219" y="4949272"/>
          <a:chExt cx="1725184" cy="456170"/>
        </a:xfrm>
      </xdr:grpSpPr>
      <xdr:sp macro="" textlink="">
        <xdr:nvSpPr>
          <xdr:cNvPr id="673" name="Rectangle: Rounded Corners 672">
            <a:extLst>
              <a:ext uri="{FF2B5EF4-FFF2-40B4-BE49-F238E27FC236}">
                <a16:creationId xmlns:a16="http://schemas.microsoft.com/office/drawing/2014/main" id="{FB394C29-B937-48C8-E95E-6B035D864360}"/>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4" name="TextBox 673">
            <a:hlinkClick xmlns:r="http://schemas.openxmlformats.org/officeDocument/2006/relationships" r:id="rId13"/>
            <a:extLst>
              <a:ext uri="{FF2B5EF4-FFF2-40B4-BE49-F238E27FC236}">
                <a16:creationId xmlns:a16="http://schemas.microsoft.com/office/drawing/2014/main" id="{6860436E-861A-EA29-FA3D-51C844F3453C}"/>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75" name="Oval 674">
            <a:extLst>
              <a:ext uri="{FF2B5EF4-FFF2-40B4-BE49-F238E27FC236}">
                <a16:creationId xmlns:a16="http://schemas.microsoft.com/office/drawing/2014/main" id="{AC52F45A-75AD-B8CF-8047-E2599C899A42}"/>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76" name="TextBox 675">
            <a:hlinkClick xmlns:r="http://schemas.openxmlformats.org/officeDocument/2006/relationships" r:id="rId13"/>
            <a:extLst>
              <a:ext uri="{FF2B5EF4-FFF2-40B4-BE49-F238E27FC236}">
                <a16:creationId xmlns:a16="http://schemas.microsoft.com/office/drawing/2014/main" id="{428DFB37-0E51-EF6A-BB1C-DAC3D653D4A4}"/>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7</xdr:row>
      <xdr:rowOff>723328</xdr:rowOff>
    </xdr:from>
    <xdr:to>
      <xdr:col>0</xdr:col>
      <xdr:colOff>1709298</xdr:colOff>
      <xdr:row>8</xdr:row>
      <xdr:rowOff>298159</xdr:rowOff>
    </xdr:to>
    <xdr:grpSp>
      <xdr:nvGrpSpPr>
        <xdr:cNvPr id="15" name="Group 14">
          <a:extLst>
            <a:ext uri="{FF2B5EF4-FFF2-40B4-BE49-F238E27FC236}">
              <a16:creationId xmlns:a16="http://schemas.microsoft.com/office/drawing/2014/main" id="{2E9ECC27-FCBD-85F4-A746-5579EC94ED35}"/>
            </a:ext>
          </a:extLst>
        </xdr:cNvPr>
        <xdr:cNvGrpSpPr/>
      </xdr:nvGrpSpPr>
      <xdr:grpSpPr>
        <a:xfrm>
          <a:off x="2129" y="5358828"/>
          <a:ext cx="1707169" cy="495581"/>
          <a:chOff x="2215" y="5434042"/>
          <a:chExt cx="1725184" cy="486597"/>
        </a:xfrm>
      </xdr:grpSpPr>
      <xdr:sp macro="" textlink="">
        <xdr:nvSpPr>
          <xdr:cNvPr id="669" name="Rectangle: Rounded Corners 668">
            <a:extLst>
              <a:ext uri="{FF2B5EF4-FFF2-40B4-BE49-F238E27FC236}">
                <a16:creationId xmlns:a16="http://schemas.microsoft.com/office/drawing/2014/main" id="{137A7A0E-08BC-8A04-2980-C98D5F345614}"/>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0" name="TextBox 669">
            <a:hlinkClick xmlns:r="http://schemas.openxmlformats.org/officeDocument/2006/relationships" r:id="rId14"/>
            <a:extLst>
              <a:ext uri="{FF2B5EF4-FFF2-40B4-BE49-F238E27FC236}">
                <a16:creationId xmlns:a16="http://schemas.microsoft.com/office/drawing/2014/main" id="{CE9206D0-F92F-84AE-C4D5-FC1C2C202DCE}"/>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71" name="Oval 670">
            <a:extLst>
              <a:ext uri="{FF2B5EF4-FFF2-40B4-BE49-F238E27FC236}">
                <a16:creationId xmlns:a16="http://schemas.microsoft.com/office/drawing/2014/main" id="{231B1A8D-B9EC-848B-66FD-6B4AB8966F25}"/>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72" name="TextBox 671">
            <a:hlinkClick xmlns:r="http://schemas.openxmlformats.org/officeDocument/2006/relationships" r:id="rId14"/>
            <a:extLst>
              <a:ext uri="{FF2B5EF4-FFF2-40B4-BE49-F238E27FC236}">
                <a16:creationId xmlns:a16="http://schemas.microsoft.com/office/drawing/2014/main" id="{D4706501-FD92-36D9-F00B-D2D9F04E46CB}"/>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8</xdr:row>
      <xdr:rowOff>316240</xdr:rowOff>
    </xdr:from>
    <xdr:to>
      <xdr:col>0</xdr:col>
      <xdr:colOff>1709296</xdr:colOff>
      <xdr:row>8</xdr:row>
      <xdr:rowOff>817159</xdr:rowOff>
    </xdr:to>
    <xdr:grpSp>
      <xdr:nvGrpSpPr>
        <xdr:cNvPr id="16" name="Group 15">
          <a:extLst>
            <a:ext uri="{FF2B5EF4-FFF2-40B4-BE49-F238E27FC236}">
              <a16:creationId xmlns:a16="http://schemas.microsoft.com/office/drawing/2014/main" id="{F011A6E9-CDEF-1921-E21C-47C7B6CE0813}"/>
            </a:ext>
          </a:extLst>
        </xdr:cNvPr>
        <xdr:cNvGrpSpPr/>
      </xdr:nvGrpSpPr>
      <xdr:grpSpPr>
        <a:xfrm>
          <a:off x="2127" y="5872490"/>
          <a:ext cx="1707169" cy="500919"/>
          <a:chOff x="2213" y="5938772"/>
          <a:chExt cx="1725184" cy="485874"/>
        </a:xfrm>
      </xdr:grpSpPr>
      <xdr:sp macro="" textlink="">
        <xdr:nvSpPr>
          <xdr:cNvPr id="665" name="Rectangle: Rounded Corners 664">
            <a:extLst>
              <a:ext uri="{FF2B5EF4-FFF2-40B4-BE49-F238E27FC236}">
                <a16:creationId xmlns:a16="http://schemas.microsoft.com/office/drawing/2014/main" id="{0CE31FC5-0DA3-8145-A3B2-8BB8727DEF75}"/>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66" name="TextBox 665">
            <a:hlinkClick xmlns:r="http://schemas.openxmlformats.org/officeDocument/2006/relationships" r:id="rId15"/>
            <a:extLst>
              <a:ext uri="{FF2B5EF4-FFF2-40B4-BE49-F238E27FC236}">
                <a16:creationId xmlns:a16="http://schemas.microsoft.com/office/drawing/2014/main" id="{8B3FD9DC-705E-548A-1D2A-9908C26C533F}"/>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67" name="Oval 666">
            <a:extLst>
              <a:ext uri="{FF2B5EF4-FFF2-40B4-BE49-F238E27FC236}">
                <a16:creationId xmlns:a16="http://schemas.microsoft.com/office/drawing/2014/main" id="{45B60013-19FB-ED07-3EF0-B2A0428158B0}"/>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68" name="TextBox 667">
            <a:hlinkClick xmlns:r="http://schemas.openxmlformats.org/officeDocument/2006/relationships" r:id="rId15"/>
            <a:extLst>
              <a:ext uri="{FF2B5EF4-FFF2-40B4-BE49-F238E27FC236}">
                <a16:creationId xmlns:a16="http://schemas.microsoft.com/office/drawing/2014/main" id="{B1B4D8B8-C172-B66B-C988-6BA81E3E6515}"/>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8</xdr:row>
      <xdr:rowOff>837201</xdr:rowOff>
    </xdr:from>
    <xdr:to>
      <xdr:col>0</xdr:col>
      <xdr:colOff>1708011</xdr:colOff>
      <xdr:row>9</xdr:row>
      <xdr:rowOff>379399</xdr:rowOff>
    </xdr:to>
    <xdr:grpSp>
      <xdr:nvGrpSpPr>
        <xdr:cNvPr id="17" name="Group 16">
          <a:extLst>
            <a:ext uri="{FF2B5EF4-FFF2-40B4-BE49-F238E27FC236}">
              <a16:creationId xmlns:a16="http://schemas.microsoft.com/office/drawing/2014/main" id="{2434DE51-86CF-9872-CE9C-AE5BB7A8F4EE}"/>
            </a:ext>
          </a:extLst>
        </xdr:cNvPr>
        <xdr:cNvGrpSpPr/>
      </xdr:nvGrpSpPr>
      <xdr:grpSpPr>
        <a:xfrm>
          <a:off x="842" y="6393451"/>
          <a:ext cx="1707169" cy="462948"/>
          <a:chOff x="876" y="6443539"/>
          <a:chExt cx="1725184" cy="456924"/>
        </a:xfrm>
      </xdr:grpSpPr>
      <xdr:sp macro="" textlink="">
        <xdr:nvSpPr>
          <xdr:cNvPr id="661" name="Rectangle: Rounded Corners 660">
            <a:extLst>
              <a:ext uri="{FF2B5EF4-FFF2-40B4-BE49-F238E27FC236}">
                <a16:creationId xmlns:a16="http://schemas.microsoft.com/office/drawing/2014/main" id="{14CD8B4D-37DD-D863-8E55-0203E61CBD0E}"/>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62" name="TextBox 661">
            <a:hlinkClick xmlns:r="http://schemas.openxmlformats.org/officeDocument/2006/relationships" r:id="rId16"/>
            <a:extLst>
              <a:ext uri="{FF2B5EF4-FFF2-40B4-BE49-F238E27FC236}">
                <a16:creationId xmlns:a16="http://schemas.microsoft.com/office/drawing/2014/main" id="{5E49969A-F39E-3928-81F6-88651AA44E99}"/>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63" name="Oval 662">
            <a:extLst>
              <a:ext uri="{FF2B5EF4-FFF2-40B4-BE49-F238E27FC236}">
                <a16:creationId xmlns:a16="http://schemas.microsoft.com/office/drawing/2014/main" id="{3B19054F-4695-C868-F64F-825B3027DC13}"/>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64" name="TextBox 663">
            <a:hlinkClick xmlns:r="http://schemas.openxmlformats.org/officeDocument/2006/relationships" r:id="rId16"/>
            <a:extLst>
              <a:ext uri="{FF2B5EF4-FFF2-40B4-BE49-F238E27FC236}">
                <a16:creationId xmlns:a16="http://schemas.microsoft.com/office/drawing/2014/main" id="{29179B77-AB59-948F-4E6D-8EAF3F5041EC}"/>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10</xdr:row>
      <xdr:rowOff>177488</xdr:rowOff>
    </xdr:from>
    <xdr:to>
      <xdr:col>0</xdr:col>
      <xdr:colOff>1708946</xdr:colOff>
      <xdr:row>10</xdr:row>
      <xdr:rowOff>648658</xdr:rowOff>
    </xdr:to>
    <xdr:grpSp>
      <xdr:nvGrpSpPr>
        <xdr:cNvPr id="18" name="Group 17">
          <a:extLst>
            <a:ext uri="{FF2B5EF4-FFF2-40B4-BE49-F238E27FC236}">
              <a16:creationId xmlns:a16="http://schemas.microsoft.com/office/drawing/2014/main" id="{45243A9F-2091-B1B2-655B-8C988BC603AB}"/>
            </a:ext>
          </a:extLst>
        </xdr:cNvPr>
        <xdr:cNvGrpSpPr/>
      </xdr:nvGrpSpPr>
      <xdr:grpSpPr>
        <a:xfrm>
          <a:off x="1777" y="7391088"/>
          <a:ext cx="1707169" cy="471170"/>
          <a:chOff x="1849" y="7421500"/>
          <a:chExt cx="1725184" cy="457832"/>
        </a:xfrm>
      </xdr:grpSpPr>
      <xdr:sp macro="" textlink="">
        <xdr:nvSpPr>
          <xdr:cNvPr id="657" name="Rectangle: Rounded Corners 656">
            <a:extLst>
              <a:ext uri="{FF2B5EF4-FFF2-40B4-BE49-F238E27FC236}">
                <a16:creationId xmlns:a16="http://schemas.microsoft.com/office/drawing/2014/main" id="{2BC49D1A-B5CA-1F43-5D25-C589F2FC63EE}"/>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58" name="TextBox 657">
            <a:hlinkClick xmlns:r="http://schemas.openxmlformats.org/officeDocument/2006/relationships" r:id="rId17"/>
            <a:extLst>
              <a:ext uri="{FF2B5EF4-FFF2-40B4-BE49-F238E27FC236}">
                <a16:creationId xmlns:a16="http://schemas.microsoft.com/office/drawing/2014/main" id="{8E156F20-CEAB-1BEE-96DB-42D33502B188}"/>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59" name="Oval 658">
            <a:extLst>
              <a:ext uri="{FF2B5EF4-FFF2-40B4-BE49-F238E27FC236}">
                <a16:creationId xmlns:a16="http://schemas.microsoft.com/office/drawing/2014/main" id="{98C6286F-89FF-65CF-EC6B-2D2F6488F9C0}"/>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60" name="TextBox 659">
            <a:hlinkClick xmlns:r="http://schemas.openxmlformats.org/officeDocument/2006/relationships" r:id="rId17"/>
            <a:extLst>
              <a:ext uri="{FF2B5EF4-FFF2-40B4-BE49-F238E27FC236}">
                <a16:creationId xmlns:a16="http://schemas.microsoft.com/office/drawing/2014/main" id="{9356B739-7621-DB70-D5EA-8ECEF1A018EB}"/>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10</xdr:row>
      <xdr:rowOff>676557</xdr:rowOff>
    </xdr:from>
    <xdr:to>
      <xdr:col>0</xdr:col>
      <xdr:colOff>1710873</xdr:colOff>
      <xdr:row>11</xdr:row>
      <xdr:rowOff>250475</xdr:rowOff>
    </xdr:to>
    <xdr:grpSp>
      <xdr:nvGrpSpPr>
        <xdr:cNvPr id="19" name="Group 18">
          <a:extLst>
            <a:ext uri="{FF2B5EF4-FFF2-40B4-BE49-F238E27FC236}">
              <a16:creationId xmlns:a16="http://schemas.microsoft.com/office/drawing/2014/main" id="{F02F8807-4177-CC5E-E5CA-F8032C7E22AD}"/>
            </a:ext>
          </a:extLst>
        </xdr:cNvPr>
        <xdr:cNvGrpSpPr/>
      </xdr:nvGrpSpPr>
      <xdr:grpSpPr>
        <a:xfrm>
          <a:off x="3704" y="7890157"/>
          <a:ext cx="1707169" cy="494668"/>
          <a:chOff x="3854" y="7898602"/>
          <a:chExt cx="1725184" cy="486825"/>
        </a:xfrm>
      </xdr:grpSpPr>
      <xdr:sp macro="" textlink="">
        <xdr:nvSpPr>
          <xdr:cNvPr id="653" name="Rectangle: Rounded Corners 652">
            <a:extLst>
              <a:ext uri="{FF2B5EF4-FFF2-40B4-BE49-F238E27FC236}">
                <a16:creationId xmlns:a16="http://schemas.microsoft.com/office/drawing/2014/main" id="{B17F5BD4-172E-FC5E-3D75-506B4106CC04}"/>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54" name="TextBox 653">
            <a:hlinkClick xmlns:r="http://schemas.openxmlformats.org/officeDocument/2006/relationships" r:id="rId18"/>
            <a:extLst>
              <a:ext uri="{FF2B5EF4-FFF2-40B4-BE49-F238E27FC236}">
                <a16:creationId xmlns:a16="http://schemas.microsoft.com/office/drawing/2014/main" id="{2D59391F-C86D-A4BE-8EB4-1A9724010255}"/>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55" name="Oval 654">
            <a:extLst>
              <a:ext uri="{FF2B5EF4-FFF2-40B4-BE49-F238E27FC236}">
                <a16:creationId xmlns:a16="http://schemas.microsoft.com/office/drawing/2014/main" id="{4A9DDBAB-8CCF-FC6E-8795-45F2B9FFE4F1}"/>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6" name="TextBox 655">
            <a:hlinkClick xmlns:r="http://schemas.openxmlformats.org/officeDocument/2006/relationships" r:id="rId18"/>
            <a:extLst>
              <a:ext uri="{FF2B5EF4-FFF2-40B4-BE49-F238E27FC236}">
                <a16:creationId xmlns:a16="http://schemas.microsoft.com/office/drawing/2014/main" id="{05EC879B-9D64-7C0C-1379-6A2234BA7ECF}"/>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11</xdr:row>
      <xdr:rowOff>274888</xdr:rowOff>
    </xdr:from>
    <xdr:to>
      <xdr:col>0</xdr:col>
      <xdr:colOff>1712157</xdr:colOff>
      <xdr:row>12</xdr:row>
      <xdr:rowOff>6915</xdr:rowOff>
    </xdr:to>
    <xdr:grpSp>
      <xdr:nvGrpSpPr>
        <xdr:cNvPr id="20" name="Group 19">
          <a:extLst>
            <a:ext uri="{FF2B5EF4-FFF2-40B4-BE49-F238E27FC236}">
              <a16:creationId xmlns:a16="http://schemas.microsoft.com/office/drawing/2014/main" id="{D7B05736-6D4F-B5FE-8A95-FAEFAFF17216}"/>
            </a:ext>
          </a:extLst>
        </xdr:cNvPr>
        <xdr:cNvGrpSpPr/>
      </xdr:nvGrpSpPr>
      <xdr:grpSpPr>
        <a:xfrm>
          <a:off x="4988" y="8409238"/>
          <a:ext cx="1707169" cy="468627"/>
          <a:chOff x="5190" y="8408439"/>
          <a:chExt cx="1725184" cy="455434"/>
        </a:xfrm>
      </xdr:grpSpPr>
      <xdr:sp macro="" textlink="">
        <xdr:nvSpPr>
          <xdr:cNvPr id="649" name="Rectangle: Rounded Corners 648">
            <a:extLst>
              <a:ext uri="{FF2B5EF4-FFF2-40B4-BE49-F238E27FC236}">
                <a16:creationId xmlns:a16="http://schemas.microsoft.com/office/drawing/2014/main" id="{35C0AE4D-EE15-2890-1EAB-C349D541F6B3}"/>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50" name="TextBox 649">
            <a:hlinkClick xmlns:r="http://schemas.openxmlformats.org/officeDocument/2006/relationships" r:id="rId19"/>
            <a:extLst>
              <a:ext uri="{FF2B5EF4-FFF2-40B4-BE49-F238E27FC236}">
                <a16:creationId xmlns:a16="http://schemas.microsoft.com/office/drawing/2014/main" id="{61E19855-9090-F9EC-52AE-51ED5D93AB23}"/>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51" name="Oval 650">
            <a:extLst>
              <a:ext uri="{FF2B5EF4-FFF2-40B4-BE49-F238E27FC236}">
                <a16:creationId xmlns:a16="http://schemas.microsoft.com/office/drawing/2014/main" id="{4C6AC4E8-99AD-59A2-609C-5407CDE63BC6}"/>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2" name="TextBox 651">
            <a:hlinkClick xmlns:r="http://schemas.openxmlformats.org/officeDocument/2006/relationships" r:id="rId19"/>
            <a:extLst>
              <a:ext uri="{FF2B5EF4-FFF2-40B4-BE49-F238E27FC236}">
                <a16:creationId xmlns:a16="http://schemas.microsoft.com/office/drawing/2014/main" id="{03DC0756-7DA5-20A1-E0A4-EE6F199779C7}"/>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12</xdr:row>
      <xdr:rowOff>19866</xdr:rowOff>
    </xdr:from>
    <xdr:to>
      <xdr:col>0</xdr:col>
      <xdr:colOff>1713207</xdr:colOff>
      <xdr:row>12</xdr:row>
      <xdr:rowOff>513959</xdr:rowOff>
    </xdr:to>
    <xdr:grpSp>
      <xdr:nvGrpSpPr>
        <xdr:cNvPr id="21" name="Group 20">
          <a:extLst>
            <a:ext uri="{FF2B5EF4-FFF2-40B4-BE49-F238E27FC236}">
              <a16:creationId xmlns:a16="http://schemas.microsoft.com/office/drawing/2014/main" id="{CE7EB990-284A-A035-8DD2-48DF77B0ED43}"/>
            </a:ext>
          </a:extLst>
        </xdr:cNvPr>
        <xdr:cNvGrpSpPr/>
      </xdr:nvGrpSpPr>
      <xdr:grpSpPr>
        <a:xfrm>
          <a:off x="6038" y="8890816"/>
          <a:ext cx="1707169" cy="494093"/>
          <a:chOff x="6283" y="8882925"/>
          <a:chExt cx="1725184" cy="479438"/>
        </a:xfrm>
      </xdr:grpSpPr>
      <xdr:sp macro="" textlink="">
        <xdr:nvSpPr>
          <xdr:cNvPr id="645" name="Rectangle: Rounded Corners 644">
            <a:extLst>
              <a:ext uri="{FF2B5EF4-FFF2-40B4-BE49-F238E27FC236}">
                <a16:creationId xmlns:a16="http://schemas.microsoft.com/office/drawing/2014/main" id="{3BA0301D-DD1A-531D-5C90-3EA4F3554986}"/>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46" name="TextBox 645">
            <a:hlinkClick xmlns:r="http://schemas.openxmlformats.org/officeDocument/2006/relationships" r:id="rId20"/>
            <a:extLst>
              <a:ext uri="{FF2B5EF4-FFF2-40B4-BE49-F238E27FC236}">
                <a16:creationId xmlns:a16="http://schemas.microsoft.com/office/drawing/2014/main" id="{CB0E1555-7B96-CC7B-92A9-975F015465F1}"/>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7" name="Oval 646">
            <a:extLst>
              <a:ext uri="{FF2B5EF4-FFF2-40B4-BE49-F238E27FC236}">
                <a16:creationId xmlns:a16="http://schemas.microsoft.com/office/drawing/2014/main" id="{C77683D2-0F57-22B9-673C-A117D38D9700}"/>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48" name="TextBox 647">
            <a:hlinkClick xmlns:r="http://schemas.openxmlformats.org/officeDocument/2006/relationships" r:id="rId20"/>
            <a:extLst>
              <a:ext uri="{FF2B5EF4-FFF2-40B4-BE49-F238E27FC236}">
                <a16:creationId xmlns:a16="http://schemas.microsoft.com/office/drawing/2014/main" id="{364F62F4-9AA5-2828-EFCD-AC9B0C034BB1}"/>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13</xdr:row>
      <xdr:rowOff>309258</xdr:rowOff>
    </xdr:from>
    <xdr:to>
      <xdr:col>0</xdr:col>
      <xdr:colOff>1711774</xdr:colOff>
      <xdr:row>13</xdr:row>
      <xdr:rowOff>781715</xdr:rowOff>
    </xdr:to>
    <xdr:grpSp>
      <xdr:nvGrpSpPr>
        <xdr:cNvPr id="22" name="Group 21">
          <a:extLst>
            <a:ext uri="{FF2B5EF4-FFF2-40B4-BE49-F238E27FC236}">
              <a16:creationId xmlns:a16="http://schemas.microsoft.com/office/drawing/2014/main" id="{903B4345-6E95-F2E6-603B-FD192F970415}"/>
            </a:ext>
          </a:extLst>
        </xdr:cNvPr>
        <xdr:cNvGrpSpPr/>
      </xdr:nvGrpSpPr>
      <xdr:grpSpPr>
        <a:xfrm>
          <a:off x="4605" y="9916808"/>
          <a:ext cx="1707169" cy="472457"/>
          <a:chOff x="4792" y="9884285"/>
          <a:chExt cx="1725184" cy="459044"/>
        </a:xfrm>
      </xdr:grpSpPr>
      <xdr:sp macro="" textlink="">
        <xdr:nvSpPr>
          <xdr:cNvPr id="641" name="Rectangle: Rounded Corners 640">
            <a:extLst>
              <a:ext uri="{FF2B5EF4-FFF2-40B4-BE49-F238E27FC236}">
                <a16:creationId xmlns:a16="http://schemas.microsoft.com/office/drawing/2014/main" id="{31CD16A7-4B19-265B-0ECC-3CE38D32458D}"/>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42" name="TextBox 641">
            <a:hlinkClick xmlns:r="http://schemas.openxmlformats.org/officeDocument/2006/relationships" r:id="rId21"/>
            <a:extLst>
              <a:ext uri="{FF2B5EF4-FFF2-40B4-BE49-F238E27FC236}">
                <a16:creationId xmlns:a16="http://schemas.microsoft.com/office/drawing/2014/main" id="{D8C07F97-D581-53AE-E259-C25F20FF4F90}"/>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3" name="Oval 642">
            <a:extLst>
              <a:ext uri="{FF2B5EF4-FFF2-40B4-BE49-F238E27FC236}">
                <a16:creationId xmlns:a16="http://schemas.microsoft.com/office/drawing/2014/main" id="{1070EFF7-8C3E-2429-B703-A268B1C3AC33}"/>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44" name="TextBox 643">
            <a:hlinkClick xmlns:r="http://schemas.openxmlformats.org/officeDocument/2006/relationships" r:id="rId21"/>
            <a:extLst>
              <a:ext uri="{FF2B5EF4-FFF2-40B4-BE49-F238E27FC236}">
                <a16:creationId xmlns:a16="http://schemas.microsoft.com/office/drawing/2014/main" id="{9934B6CF-E1B1-B64E-A4EE-E7D7AEC3D817}"/>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12</xdr:row>
      <xdr:rowOff>532171</xdr:rowOff>
    </xdr:from>
    <xdr:to>
      <xdr:col>0</xdr:col>
      <xdr:colOff>1712537</xdr:colOff>
      <xdr:row>13</xdr:row>
      <xdr:rowOff>284670</xdr:rowOff>
    </xdr:to>
    <xdr:grpSp>
      <xdr:nvGrpSpPr>
        <xdr:cNvPr id="23" name="Group 22">
          <a:extLst>
            <a:ext uri="{FF2B5EF4-FFF2-40B4-BE49-F238E27FC236}">
              <a16:creationId xmlns:a16="http://schemas.microsoft.com/office/drawing/2014/main" id="{F263B943-11B1-0A96-8083-0ADD62EC08E5}"/>
            </a:ext>
          </a:extLst>
        </xdr:cNvPr>
        <xdr:cNvGrpSpPr/>
      </xdr:nvGrpSpPr>
      <xdr:grpSpPr>
        <a:xfrm>
          <a:off x="5368" y="9403121"/>
          <a:ext cx="1707169" cy="489099"/>
          <a:chOff x="5586" y="9379532"/>
          <a:chExt cx="1725184" cy="481576"/>
        </a:xfrm>
      </xdr:grpSpPr>
      <xdr:sp macro="" textlink="">
        <xdr:nvSpPr>
          <xdr:cNvPr id="513" name="Rectangle: Rounded Corners 512">
            <a:extLst>
              <a:ext uri="{FF2B5EF4-FFF2-40B4-BE49-F238E27FC236}">
                <a16:creationId xmlns:a16="http://schemas.microsoft.com/office/drawing/2014/main" id="{641C952D-07A6-B1A4-A48C-8ABBEBD72A49}"/>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4" name="TextBox 513">
            <a:hlinkClick xmlns:r="http://schemas.openxmlformats.org/officeDocument/2006/relationships" r:id="rId22"/>
            <a:extLst>
              <a:ext uri="{FF2B5EF4-FFF2-40B4-BE49-F238E27FC236}">
                <a16:creationId xmlns:a16="http://schemas.microsoft.com/office/drawing/2014/main" id="{BC7F6076-DA0A-4ED5-6707-0CE93B3BE096}"/>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15" name="Oval 514">
            <a:extLst>
              <a:ext uri="{FF2B5EF4-FFF2-40B4-BE49-F238E27FC236}">
                <a16:creationId xmlns:a16="http://schemas.microsoft.com/office/drawing/2014/main" id="{08BD34C1-822C-8ACA-5BEA-66C1E2957C26}"/>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16" name="TextBox 515">
            <a:hlinkClick xmlns:r="http://schemas.openxmlformats.org/officeDocument/2006/relationships" r:id="rId22"/>
            <a:extLst>
              <a:ext uri="{FF2B5EF4-FFF2-40B4-BE49-F238E27FC236}">
                <a16:creationId xmlns:a16="http://schemas.microsoft.com/office/drawing/2014/main" id="{799D265E-7B51-9333-6522-33EFFCDE6EE7}"/>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13</xdr:row>
      <xdr:rowOff>790221</xdr:rowOff>
    </xdr:from>
    <xdr:to>
      <xdr:col>0</xdr:col>
      <xdr:colOff>1711005</xdr:colOff>
      <xdr:row>14</xdr:row>
      <xdr:rowOff>371028</xdr:rowOff>
    </xdr:to>
    <xdr:grpSp>
      <xdr:nvGrpSpPr>
        <xdr:cNvPr id="24" name="Group 23">
          <a:extLst>
            <a:ext uri="{FF2B5EF4-FFF2-40B4-BE49-F238E27FC236}">
              <a16:creationId xmlns:a16="http://schemas.microsoft.com/office/drawing/2014/main" id="{F92F3BA3-979A-5751-3CC6-0A241251544D}"/>
            </a:ext>
          </a:extLst>
        </xdr:cNvPr>
        <xdr:cNvGrpSpPr/>
      </xdr:nvGrpSpPr>
      <xdr:grpSpPr>
        <a:xfrm>
          <a:off x="3836" y="10397771"/>
          <a:ext cx="1707169" cy="501557"/>
          <a:chOff x="3992" y="10358190"/>
          <a:chExt cx="1725184" cy="486476"/>
        </a:xfrm>
      </xdr:grpSpPr>
      <xdr:sp macro="" textlink="">
        <xdr:nvSpPr>
          <xdr:cNvPr id="61" name="Rectangle: Rounded Corners 60">
            <a:extLst>
              <a:ext uri="{FF2B5EF4-FFF2-40B4-BE49-F238E27FC236}">
                <a16:creationId xmlns:a16="http://schemas.microsoft.com/office/drawing/2014/main" id="{5927827F-9A5E-6D31-FC60-A04A8319589E}"/>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2" name="TextBox 61">
            <a:hlinkClick xmlns:r="http://schemas.openxmlformats.org/officeDocument/2006/relationships" r:id="rId23"/>
            <a:extLst>
              <a:ext uri="{FF2B5EF4-FFF2-40B4-BE49-F238E27FC236}">
                <a16:creationId xmlns:a16="http://schemas.microsoft.com/office/drawing/2014/main" id="{4BBE0721-AE99-1A3E-916D-E4A8079B8A83}"/>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3" name="Oval 62">
            <a:extLst>
              <a:ext uri="{FF2B5EF4-FFF2-40B4-BE49-F238E27FC236}">
                <a16:creationId xmlns:a16="http://schemas.microsoft.com/office/drawing/2014/main" id="{06433E1D-E726-3840-4DCB-D70902B489D1}"/>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12" name="TextBox 511">
            <a:hlinkClick xmlns:r="http://schemas.openxmlformats.org/officeDocument/2006/relationships" r:id="rId23"/>
            <a:extLst>
              <a:ext uri="{FF2B5EF4-FFF2-40B4-BE49-F238E27FC236}">
                <a16:creationId xmlns:a16="http://schemas.microsoft.com/office/drawing/2014/main" id="{40F3833D-9331-9369-DF67-39F4DC9B5F5F}"/>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14</xdr:row>
      <xdr:rowOff>388564</xdr:rowOff>
    </xdr:from>
    <xdr:to>
      <xdr:col>0</xdr:col>
      <xdr:colOff>1712668</xdr:colOff>
      <xdr:row>15</xdr:row>
      <xdr:rowOff>113346</xdr:rowOff>
    </xdr:to>
    <xdr:grpSp>
      <xdr:nvGrpSpPr>
        <xdr:cNvPr id="26" name="Group 25">
          <a:extLst>
            <a:ext uri="{FF2B5EF4-FFF2-40B4-BE49-F238E27FC236}">
              <a16:creationId xmlns:a16="http://schemas.microsoft.com/office/drawing/2014/main" id="{D556CF1C-0A98-6809-C656-9BD08D278AC4}"/>
            </a:ext>
          </a:extLst>
        </xdr:cNvPr>
        <xdr:cNvGrpSpPr/>
      </xdr:nvGrpSpPr>
      <xdr:grpSpPr>
        <a:xfrm>
          <a:off x="5499" y="10916864"/>
          <a:ext cx="1707169" cy="461382"/>
          <a:chOff x="5723" y="10874564"/>
          <a:chExt cx="1725184" cy="455447"/>
        </a:xfrm>
      </xdr:grpSpPr>
      <xdr:sp macro="" textlink="">
        <xdr:nvSpPr>
          <xdr:cNvPr id="53" name="Rectangle: Rounded Corners 52">
            <a:extLst>
              <a:ext uri="{FF2B5EF4-FFF2-40B4-BE49-F238E27FC236}">
                <a16:creationId xmlns:a16="http://schemas.microsoft.com/office/drawing/2014/main" id="{209D8B1F-5285-FFAA-32B2-CECADA36BF63}"/>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4" name="TextBox 53">
            <a:hlinkClick xmlns:r="http://schemas.openxmlformats.org/officeDocument/2006/relationships" r:id="rId24"/>
            <a:extLst>
              <a:ext uri="{FF2B5EF4-FFF2-40B4-BE49-F238E27FC236}">
                <a16:creationId xmlns:a16="http://schemas.microsoft.com/office/drawing/2014/main" id="{692D5361-BDFC-2E76-B3E8-1CB4C3C2DB33}"/>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5" name="Oval 54">
            <a:extLst>
              <a:ext uri="{FF2B5EF4-FFF2-40B4-BE49-F238E27FC236}">
                <a16:creationId xmlns:a16="http://schemas.microsoft.com/office/drawing/2014/main" id="{FE7224E7-40CF-14A6-CE67-39A4CFD30EDD}"/>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6" name="TextBox 55">
            <a:hlinkClick xmlns:r="http://schemas.openxmlformats.org/officeDocument/2006/relationships" r:id="rId24"/>
            <a:extLst>
              <a:ext uri="{FF2B5EF4-FFF2-40B4-BE49-F238E27FC236}">
                <a16:creationId xmlns:a16="http://schemas.microsoft.com/office/drawing/2014/main" id="{63162903-AB5B-6875-1FA3-BECD03EB5B60}"/>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15</xdr:row>
      <xdr:rowOff>132425</xdr:rowOff>
    </xdr:from>
    <xdr:to>
      <xdr:col>0</xdr:col>
      <xdr:colOff>1711471</xdr:colOff>
      <xdr:row>15</xdr:row>
      <xdr:rowOff>627125</xdr:rowOff>
    </xdr:to>
    <xdr:grpSp>
      <xdr:nvGrpSpPr>
        <xdr:cNvPr id="27" name="Group 26">
          <a:extLst>
            <a:ext uri="{FF2B5EF4-FFF2-40B4-BE49-F238E27FC236}">
              <a16:creationId xmlns:a16="http://schemas.microsoft.com/office/drawing/2014/main" id="{E759E28E-70E0-EF62-3F4A-843B6CBAB0F4}"/>
            </a:ext>
          </a:extLst>
        </xdr:cNvPr>
        <xdr:cNvGrpSpPr/>
      </xdr:nvGrpSpPr>
      <xdr:grpSpPr>
        <a:xfrm>
          <a:off x="4302" y="11397325"/>
          <a:ext cx="1707169" cy="494700"/>
          <a:chOff x="4477" y="11347997"/>
          <a:chExt cx="1725184" cy="480012"/>
        </a:xfrm>
      </xdr:grpSpPr>
      <xdr:sp macro="" textlink="">
        <xdr:nvSpPr>
          <xdr:cNvPr id="49" name="Rectangle: Rounded Corners 48">
            <a:extLst>
              <a:ext uri="{FF2B5EF4-FFF2-40B4-BE49-F238E27FC236}">
                <a16:creationId xmlns:a16="http://schemas.microsoft.com/office/drawing/2014/main" id="{6EB215EF-1D18-D2CE-70B9-2BC51D63D2CF}"/>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0" name="TextBox 49">
            <a:hlinkClick xmlns:r="http://schemas.openxmlformats.org/officeDocument/2006/relationships" r:id="rId25"/>
            <a:extLst>
              <a:ext uri="{FF2B5EF4-FFF2-40B4-BE49-F238E27FC236}">
                <a16:creationId xmlns:a16="http://schemas.microsoft.com/office/drawing/2014/main" id="{5AA3B1EE-22F9-9513-9617-8CC1C6229412}"/>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1" name="Oval 50">
            <a:extLst>
              <a:ext uri="{FF2B5EF4-FFF2-40B4-BE49-F238E27FC236}">
                <a16:creationId xmlns:a16="http://schemas.microsoft.com/office/drawing/2014/main" id="{BD47E273-42EB-19ED-CB06-A24EC02275BD}"/>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2" name="TextBox 51">
            <a:hlinkClick xmlns:r="http://schemas.openxmlformats.org/officeDocument/2006/relationships" r:id="rId25"/>
            <a:extLst>
              <a:ext uri="{FF2B5EF4-FFF2-40B4-BE49-F238E27FC236}">
                <a16:creationId xmlns:a16="http://schemas.microsoft.com/office/drawing/2014/main" id="{8F9D78BF-0092-C2C0-C1CC-C6C8084A3A87}"/>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9</xdr:row>
      <xdr:rowOff>398709</xdr:rowOff>
    </xdr:from>
    <xdr:to>
      <xdr:col>0</xdr:col>
      <xdr:colOff>1707169</xdr:colOff>
      <xdr:row>10</xdr:row>
      <xdr:rowOff>153712</xdr:rowOff>
    </xdr:to>
    <xdr:grpSp>
      <xdr:nvGrpSpPr>
        <xdr:cNvPr id="28" name="Group 27">
          <a:extLst>
            <a:ext uri="{FF2B5EF4-FFF2-40B4-BE49-F238E27FC236}">
              <a16:creationId xmlns:a16="http://schemas.microsoft.com/office/drawing/2014/main" id="{ED67D436-446D-337D-6B89-FEC80E6FCB2A}"/>
            </a:ext>
          </a:extLst>
        </xdr:cNvPr>
        <xdr:cNvGrpSpPr/>
      </xdr:nvGrpSpPr>
      <xdr:grpSpPr>
        <a:xfrm>
          <a:off x="0" y="6875709"/>
          <a:ext cx="1707169" cy="491603"/>
          <a:chOff x="0" y="6922179"/>
          <a:chExt cx="1725184" cy="482848"/>
        </a:xfrm>
      </xdr:grpSpPr>
      <xdr:sp macro="" textlink="">
        <xdr:nvSpPr>
          <xdr:cNvPr id="45" name="Rectangle: Rounded Corners 44">
            <a:extLst>
              <a:ext uri="{FF2B5EF4-FFF2-40B4-BE49-F238E27FC236}">
                <a16:creationId xmlns:a16="http://schemas.microsoft.com/office/drawing/2014/main" id="{1E60852A-2595-6985-06A3-BA62BE720859}"/>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6" name="TextBox 45">
            <a:hlinkClick xmlns:r="http://schemas.openxmlformats.org/officeDocument/2006/relationships" r:id="rId16"/>
            <a:extLst>
              <a:ext uri="{FF2B5EF4-FFF2-40B4-BE49-F238E27FC236}">
                <a16:creationId xmlns:a16="http://schemas.microsoft.com/office/drawing/2014/main" id="{177480CD-6E8C-294D-3C3A-48544E4D5898}"/>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7" name="Oval 46">
            <a:extLst>
              <a:ext uri="{FF2B5EF4-FFF2-40B4-BE49-F238E27FC236}">
                <a16:creationId xmlns:a16="http://schemas.microsoft.com/office/drawing/2014/main" id="{ED1BA9D6-1A3F-1A78-8988-2E3EACE5FF44}"/>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8" name="TextBox 47">
            <a:hlinkClick xmlns:r="http://schemas.openxmlformats.org/officeDocument/2006/relationships" r:id="rId26"/>
            <a:extLst>
              <a:ext uri="{FF2B5EF4-FFF2-40B4-BE49-F238E27FC236}">
                <a16:creationId xmlns:a16="http://schemas.microsoft.com/office/drawing/2014/main" id="{D4F1A346-C191-495B-4BC9-B0A44D93FC2F}"/>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15</xdr:row>
      <xdr:rowOff>639830</xdr:rowOff>
    </xdr:from>
    <xdr:to>
      <xdr:col>0</xdr:col>
      <xdr:colOff>1711953</xdr:colOff>
      <xdr:row>16</xdr:row>
      <xdr:rowOff>213780</xdr:rowOff>
    </xdr:to>
    <xdr:grpSp>
      <xdr:nvGrpSpPr>
        <xdr:cNvPr id="31" name="Group 30">
          <a:extLst>
            <a:ext uri="{FF2B5EF4-FFF2-40B4-BE49-F238E27FC236}">
              <a16:creationId xmlns:a16="http://schemas.microsoft.com/office/drawing/2014/main" id="{38E202F5-0E5D-8B6E-65EF-1C489384BB65}"/>
            </a:ext>
          </a:extLst>
        </xdr:cNvPr>
        <xdr:cNvGrpSpPr/>
      </xdr:nvGrpSpPr>
      <xdr:grpSpPr>
        <a:xfrm>
          <a:off x="5742" y="11904730"/>
          <a:ext cx="1706211" cy="494700"/>
          <a:chOff x="4477" y="11347997"/>
          <a:chExt cx="1725184" cy="480012"/>
        </a:xfrm>
      </xdr:grpSpPr>
      <xdr:sp macro="" textlink="">
        <xdr:nvSpPr>
          <xdr:cNvPr id="37" name="Rectangle: Rounded Corners 36">
            <a:extLst>
              <a:ext uri="{FF2B5EF4-FFF2-40B4-BE49-F238E27FC236}">
                <a16:creationId xmlns:a16="http://schemas.microsoft.com/office/drawing/2014/main" id="{17D55327-FF69-62ED-7300-3A0256452996}"/>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8" name="TextBox 37">
            <a:hlinkClick xmlns:r="http://schemas.openxmlformats.org/officeDocument/2006/relationships" r:id="rId27"/>
            <a:extLst>
              <a:ext uri="{FF2B5EF4-FFF2-40B4-BE49-F238E27FC236}">
                <a16:creationId xmlns:a16="http://schemas.microsoft.com/office/drawing/2014/main" id="{DADA054E-B3ED-A408-554D-941C8E8F4A74}"/>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9" name="Oval 38">
            <a:extLst>
              <a:ext uri="{FF2B5EF4-FFF2-40B4-BE49-F238E27FC236}">
                <a16:creationId xmlns:a16="http://schemas.microsoft.com/office/drawing/2014/main" id="{2D993648-D709-639E-E9E4-84E8A9ED507A}"/>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0" name="TextBox 39">
            <a:hlinkClick xmlns:r="http://schemas.openxmlformats.org/officeDocument/2006/relationships" r:id="rId27"/>
            <a:extLst>
              <a:ext uri="{FF2B5EF4-FFF2-40B4-BE49-F238E27FC236}">
                <a16:creationId xmlns:a16="http://schemas.microsoft.com/office/drawing/2014/main" id="{7DABE981-766A-C253-EE4C-F3A949EBA9BE}"/>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520" name="Group 519">
          <a:extLst>
            <a:ext uri="{FF2B5EF4-FFF2-40B4-BE49-F238E27FC236}">
              <a16:creationId xmlns:a16="http://schemas.microsoft.com/office/drawing/2014/main" id="{911205F8-35F6-461B-81BD-032C55121D72}"/>
            </a:ext>
          </a:extLst>
        </xdr:cNvPr>
        <xdr:cNvGrpSpPr/>
      </xdr:nvGrpSpPr>
      <xdr:grpSpPr>
        <a:xfrm>
          <a:off x="9931400" y="0"/>
          <a:ext cx="774288" cy="286106"/>
          <a:chOff x="7108587" y="129950"/>
          <a:chExt cx="884099" cy="287016"/>
        </a:xfrm>
      </xdr:grpSpPr>
      <xdr:pic>
        <xdr:nvPicPr>
          <xdr:cNvPr id="521" name="Graphic 520" descr="Rewind with solid fill">
            <a:hlinkClick xmlns:r="http://schemas.openxmlformats.org/officeDocument/2006/relationships" r:id="rId28"/>
            <a:extLst>
              <a:ext uri="{FF2B5EF4-FFF2-40B4-BE49-F238E27FC236}">
                <a16:creationId xmlns:a16="http://schemas.microsoft.com/office/drawing/2014/main" id="{03F8B640-A151-2B6F-C41F-696E71C71DB4}"/>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522" name="TextBox 521">
            <a:hlinkClick xmlns:r="http://schemas.openxmlformats.org/officeDocument/2006/relationships" r:id="rId28"/>
            <a:extLst>
              <a:ext uri="{FF2B5EF4-FFF2-40B4-BE49-F238E27FC236}">
                <a16:creationId xmlns:a16="http://schemas.microsoft.com/office/drawing/2014/main" id="{CF0F0BA2-282B-3CCF-0B86-AC2AE242A6A2}"/>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16</xdr:row>
      <xdr:rowOff>254000</xdr:rowOff>
    </xdr:from>
    <xdr:to>
      <xdr:col>0</xdr:col>
      <xdr:colOff>1713549</xdr:colOff>
      <xdr:row>18</xdr:row>
      <xdr:rowOff>645534</xdr:rowOff>
    </xdr:to>
    <xdr:grpSp>
      <xdr:nvGrpSpPr>
        <xdr:cNvPr id="517" name="Group 516">
          <a:extLst>
            <a:ext uri="{FF2B5EF4-FFF2-40B4-BE49-F238E27FC236}">
              <a16:creationId xmlns:a16="http://schemas.microsoft.com/office/drawing/2014/main" id="{9BDF965C-21D7-4569-B1EB-ED751946C35F}"/>
            </a:ext>
          </a:extLst>
        </xdr:cNvPr>
        <xdr:cNvGrpSpPr/>
      </xdr:nvGrpSpPr>
      <xdr:grpSpPr>
        <a:xfrm>
          <a:off x="0" y="12439650"/>
          <a:ext cx="1713549" cy="2233034"/>
          <a:chOff x="5137727" y="13144500"/>
          <a:chExt cx="1713549" cy="2252946"/>
        </a:xfrm>
      </xdr:grpSpPr>
      <xdr:grpSp>
        <xdr:nvGrpSpPr>
          <xdr:cNvPr id="518" name="Group 517">
            <a:extLst>
              <a:ext uri="{FF2B5EF4-FFF2-40B4-BE49-F238E27FC236}">
                <a16:creationId xmlns:a16="http://schemas.microsoft.com/office/drawing/2014/main" id="{E6F7399F-D0D5-05F6-3140-FBE22D7E5586}"/>
              </a:ext>
            </a:extLst>
          </xdr:cNvPr>
          <xdr:cNvGrpSpPr/>
        </xdr:nvGrpSpPr>
        <xdr:grpSpPr>
          <a:xfrm>
            <a:off x="5144107" y="13624532"/>
            <a:ext cx="1707169" cy="465099"/>
            <a:chOff x="3415" y="11846315"/>
            <a:chExt cx="1725184" cy="456487"/>
          </a:xfrm>
        </xdr:grpSpPr>
        <xdr:sp macro="" textlink="">
          <xdr:nvSpPr>
            <xdr:cNvPr id="538" name="Rectangle: Rounded Corners 537">
              <a:extLst>
                <a:ext uri="{FF2B5EF4-FFF2-40B4-BE49-F238E27FC236}">
                  <a16:creationId xmlns:a16="http://schemas.microsoft.com/office/drawing/2014/main" id="{7873A064-ED31-7490-3C2F-EFD35D643AC0}"/>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39" name="TextBox 538">
              <a:hlinkClick xmlns:r="http://schemas.openxmlformats.org/officeDocument/2006/relationships" r:id="rId23"/>
              <a:extLst>
                <a:ext uri="{FF2B5EF4-FFF2-40B4-BE49-F238E27FC236}">
                  <a16:creationId xmlns:a16="http://schemas.microsoft.com/office/drawing/2014/main" id="{687A8621-DC7A-79AC-99B0-AD88261CB207}"/>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540" name="Oval 539">
              <a:extLst>
                <a:ext uri="{FF2B5EF4-FFF2-40B4-BE49-F238E27FC236}">
                  <a16:creationId xmlns:a16="http://schemas.microsoft.com/office/drawing/2014/main" id="{BF7F6109-2F70-0EF5-FC3D-28AFA897EEF0}"/>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41" name="TextBox 540">
              <a:hlinkClick xmlns:r="http://schemas.openxmlformats.org/officeDocument/2006/relationships" r:id="rId31"/>
              <a:extLst>
                <a:ext uri="{FF2B5EF4-FFF2-40B4-BE49-F238E27FC236}">
                  <a16:creationId xmlns:a16="http://schemas.microsoft.com/office/drawing/2014/main" id="{3137A852-46DB-9014-AE49-E4BE3F451ED4}"/>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519" name="Group 518">
            <a:extLst>
              <a:ext uri="{FF2B5EF4-FFF2-40B4-BE49-F238E27FC236}">
                <a16:creationId xmlns:a16="http://schemas.microsoft.com/office/drawing/2014/main" id="{18F744A5-463C-9A48-79CC-6285626A8C1B}"/>
              </a:ext>
            </a:extLst>
          </xdr:cNvPr>
          <xdr:cNvGrpSpPr/>
        </xdr:nvGrpSpPr>
        <xdr:grpSpPr>
          <a:xfrm>
            <a:off x="5141639" y="14111307"/>
            <a:ext cx="1707169" cy="494728"/>
            <a:chOff x="847" y="12324893"/>
            <a:chExt cx="1725184" cy="486884"/>
          </a:xfrm>
        </xdr:grpSpPr>
        <xdr:sp macro="" textlink="">
          <xdr:nvSpPr>
            <xdr:cNvPr id="534" name="Rectangle: Rounded Corners 533">
              <a:extLst>
                <a:ext uri="{FF2B5EF4-FFF2-40B4-BE49-F238E27FC236}">
                  <a16:creationId xmlns:a16="http://schemas.microsoft.com/office/drawing/2014/main" id="{A0EF6559-037D-FE06-F2B9-D280B68D00CF}"/>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35" name="TextBox 534">
              <a:hlinkClick xmlns:r="http://schemas.openxmlformats.org/officeDocument/2006/relationships" r:id="rId32"/>
              <a:extLst>
                <a:ext uri="{FF2B5EF4-FFF2-40B4-BE49-F238E27FC236}">
                  <a16:creationId xmlns:a16="http://schemas.microsoft.com/office/drawing/2014/main" id="{4B56B26A-4AD8-A163-922B-2BC65F218263}"/>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536" name="Oval 535">
              <a:extLst>
                <a:ext uri="{FF2B5EF4-FFF2-40B4-BE49-F238E27FC236}">
                  <a16:creationId xmlns:a16="http://schemas.microsoft.com/office/drawing/2014/main" id="{896AA3C0-B190-782B-7EDD-5107CBD97277}"/>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7" name="TextBox 536">
              <a:hlinkClick xmlns:r="http://schemas.openxmlformats.org/officeDocument/2006/relationships" r:id="rId32"/>
              <a:extLst>
                <a:ext uri="{FF2B5EF4-FFF2-40B4-BE49-F238E27FC236}">
                  <a16:creationId xmlns:a16="http://schemas.microsoft.com/office/drawing/2014/main" id="{F681562B-7C6C-EC58-A7FF-8620F682E08D}"/>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523" name="TextBox 522">
            <a:extLst>
              <a:ext uri="{FF2B5EF4-FFF2-40B4-BE49-F238E27FC236}">
                <a16:creationId xmlns:a16="http://schemas.microsoft.com/office/drawing/2014/main" id="{F55FC729-750D-8458-E920-516678C1846D}"/>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524" name="Group 523">
            <a:extLst>
              <a:ext uri="{FF2B5EF4-FFF2-40B4-BE49-F238E27FC236}">
                <a16:creationId xmlns:a16="http://schemas.microsoft.com/office/drawing/2014/main" id="{BDFF40CB-8005-6E20-246A-12BD8B717954}"/>
              </a:ext>
            </a:extLst>
          </xdr:cNvPr>
          <xdr:cNvGrpSpPr/>
        </xdr:nvGrpSpPr>
        <xdr:grpSpPr>
          <a:xfrm>
            <a:off x="5138008" y="14617043"/>
            <a:ext cx="1708983" cy="494290"/>
            <a:chOff x="847" y="12324893"/>
            <a:chExt cx="1725184" cy="486884"/>
          </a:xfrm>
        </xdr:grpSpPr>
        <xdr:sp macro="" textlink="">
          <xdr:nvSpPr>
            <xdr:cNvPr id="530" name="Rectangle: Rounded Corners 529">
              <a:extLst>
                <a:ext uri="{FF2B5EF4-FFF2-40B4-BE49-F238E27FC236}">
                  <a16:creationId xmlns:a16="http://schemas.microsoft.com/office/drawing/2014/main" id="{EC2C8760-6B29-BFFD-A906-0C8BE4C4DEB7}"/>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31" name="TextBox 530">
              <a:hlinkClick xmlns:r="http://schemas.openxmlformats.org/officeDocument/2006/relationships" r:id="rId33"/>
              <a:extLst>
                <a:ext uri="{FF2B5EF4-FFF2-40B4-BE49-F238E27FC236}">
                  <a16:creationId xmlns:a16="http://schemas.microsoft.com/office/drawing/2014/main" id="{5557172A-63E3-7662-EA9C-0BF3109DA3D1}"/>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532" name="Oval 531">
              <a:extLst>
                <a:ext uri="{FF2B5EF4-FFF2-40B4-BE49-F238E27FC236}">
                  <a16:creationId xmlns:a16="http://schemas.microsoft.com/office/drawing/2014/main" id="{6DFE9240-2CB7-4846-3417-45F3F563FDAC}"/>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3" name="TextBox 532">
              <a:hlinkClick xmlns:r="http://schemas.openxmlformats.org/officeDocument/2006/relationships" r:id="rId33"/>
              <a:extLst>
                <a:ext uri="{FF2B5EF4-FFF2-40B4-BE49-F238E27FC236}">
                  <a16:creationId xmlns:a16="http://schemas.microsoft.com/office/drawing/2014/main" id="{B2FEA05E-1A48-F260-5C3B-A35DEF606EDC}"/>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525" name="Group 524">
            <a:extLst>
              <a:ext uri="{FF2B5EF4-FFF2-40B4-BE49-F238E27FC236}">
                <a16:creationId xmlns:a16="http://schemas.microsoft.com/office/drawing/2014/main" id="{895136D9-C441-FC61-FDB6-B83F19CB3039}"/>
              </a:ext>
            </a:extLst>
          </xdr:cNvPr>
          <xdr:cNvGrpSpPr/>
        </xdr:nvGrpSpPr>
        <xdr:grpSpPr>
          <a:xfrm>
            <a:off x="5137727" y="13144500"/>
            <a:ext cx="1707169" cy="464661"/>
            <a:chOff x="3415" y="11846315"/>
            <a:chExt cx="1725184" cy="456487"/>
          </a:xfrm>
        </xdr:grpSpPr>
        <xdr:sp macro="" textlink="">
          <xdr:nvSpPr>
            <xdr:cNvPr id="526" name="Rectangle: Rounded Corners 525">
              <a:hlinkClick xmlns:r="http://schemas.openxmlformats.org/officeDocument/2006/relationships" r:id="rId34"/>
              <a:extLst>
                <a:ext uri="{FF2B5EF4-FFF2-40B4-BE49-F238E27FC236}">
                  <a16:creationId xmlns:a16="http://schemas.microsoft.com/office/drawing/2014/main" id="{FA18EF49-75B7-472E-BA2E-7AA263FE7552}"/>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27" name="TextBox 526">
              <a:hlinkClick xmlns:r="http://schemas.openxmlformats.org/officeDocument/2006/relationships" r:id="rId34"/>
              <a:extLst>
                <a:ext uri="{FF2B5EF4-FFF2-40B4-BE49-F238E27FC236}">
                  <a16:creationId xmlns:a16="http://schemas.microsoft.com/office/drawing/2014/main" id="{75007463-BCDB-2C3C-37AF-01C8C17DB00D}"/>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528" name="Oval 527">
              <a:hlinkClick xmlns:r="http://schemas.openxmlformats.org/officeDocument/2006/relationships" r:id="rId34"/>
              <a:extLst>
                <a:ext uri="{FF2B5EF4-FFF2-40B4-BE49-F238E27FC236}">
                  <a16:creationId xmlns:a16="http://schemas.microsoft.com/office/drawing/2014/main" id="{C7FC5203-FBF2-BD7B-1AF4-8781CA5A443B}"/>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29" name="TextBox 528">
              <a:hlinkClick xmlns:r="http://schemas.openxmlformats.org/officeDocument/2006/relationships" r:id="rId34"/>
              <a:extLst>
                <a:ext uri="{FF2B5EF4-FFF2-40B4-BE49-F238E27FC236}">
                  <a16:creationId xmlns:a16="http://schemas.microsoft.com/office/drawing/2014/main" id="{C721BF71-0432-E050-BE3F-E5DC8DB23467}"/>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27</xdr:row>
      <xdr:rowOff>819150</xdr:rowOff>
    </xdr:to>
    <xdr:sp macro="" textlink="">
      <xdr:nvSpPr>
        <xdr:cNvPr id="127" name="Rectangle: Rounded Corners 126">
          <a:extLst>
            <a:ext uri="{FF2B5EF4-FFF2-40B4-BE49-F238E27FC236}">
              <a16:creationId xmlns:a16="http://schemas.microsoft.com/office/drawing/2014/main" id="{708921BF-5475-7A70-53F8-8B3073571CAB}"/>
            </a:ext>
          </a:extLst>
        </xdr:cNvPr>
        <xdr:cNvSpPr/>
      </xdr:nvSpPr>
      <xdr:spPr>
        <a:xfrm>
          <a:off x="0" y="0"/>
          <a:ext cx="1841776" cy="148463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241300</xdr:rowOff>
    </xdr:from>
    <xdr:to>
      <xdr:col>0</xdr:col>
      <xdr:colOff>1716134</xdr:colOff>
      <xdr:row>3</xdr:row>
      <xdr:rowOff>341905</xdr:rowOff>
    </xdr:to>
    <xdr:grpSp>
      <xdr:nvGrpSpPr>
        <xdr:cNvPr id="128" name="Group 127">
          <a:extLst>
            <a:ext uri="{FF2B5EF4-FFF2-40B4-BE49-F238E27FC236}">
              <a16:creationId xmlns:a16="http://schemas.microsoft.com/office/drawing/2014/main" id="{DD3BB982-A625-4EDD-9B36-031985388471}"/>
            </a:ext>
          </a:extLst>
        </xdr:cNvPr>
        <xdr:cNvGrpSpPr/>
      </xdr:nvGrpSpPr>
      <xdr:grpSpPr>
        <a:xfrm>
          <a:off x="11239" y="628650"/>
          <a:ext cx="1704895" cy="475255"/>
          <a:chOff x="17891" y="510932"/>
          <a:chExt cx="1724265" cy="444500"/>
        </a:xfrm>
      </xdr:grpSpPr>
      <xdr:sp macro="" textlink="">
        <xdr:nvSpPr>
          <xdr:cNvPr id="257" name="Rectangle: Rounded Corners 256">
            <a:extLst>
              <a:ext uri="{FF2B5EF4-FFF2-40B4-BE49-F238E27FC236}">
                <a16:creationId xmlns:a16="http://schemas.microsoft.com/office/drawing/2014/main" id="{A915524E-D97A-E3C3-3479-63FB4B1D1BA8}"/>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8" name="TextBox 257">
            <a:hlinkClick xmlns:r="http://schemas.openxmlformats.org/officeDocument/2006/relationships" r:id="rId1"/>
            <a:extLst>
              <a:ext uri="{FF2B5EF4-FFF2-40B4-BE49-F238E27FC236}">
                <a16:creationId xmlns:a16="http://schemas.microsoft.com/office/drawing/2014/main" id="{884BA808-FA3C-2582-C854-CC9601D22C70}"/>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259" name="Oval 258">
            <a:extLst>
              <a:ext uri="{FF2B5EF4-FFF2-40B4-BE49-F238E27FC236}">
                <a16:creationId xmlns:a16="http://schemas.microsoft.com/office/drawing/2014/main" id="{CE9756CC-9F5E-A45C-B4E2-59EDEDEA97B6}"/>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129" name="Graphic 128" descr="Home with solid fill">
          <a:hlinkClick xmlns:r="http://schemas.openxmlformats.org/officeDocument/2006/relationships" r:id="rId2"/>
          <a:extLst>
            <a:ext uri="{FF2B5EF4-FFF2-40B4-BE49-F238E27FC236}">
              <a16:creationId xmlns:a16="http://schemas.microsoft.com/office/drawing/2014/main" id="{B56913EF-C49A-CDFA-C852-E8A557C2266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130" name="Group 129">
          <a:extLst>
            <a:ext uri="{FF2B5EF4-FFF2-40B4-BE49-F238E27FC236}">
              <a16:creationId xmlns:a16="http://schemas.microsoft.com/office/drawing/2014/main" id="{334917FD-E425-BBEC-7828-53C0AA677A38}"/>
            </a:ext>
          </a:extLst>
        </xdr:cNvPr>
        <xdr:cNvGrpSpPr/>
      </xdr:nvGrpSpPr>
      <xdr:grpSpPr>
        <a:xfrm>
          <a:off x="10917" y="1127622"/>
          <a:ext cx="1704895" cy="446452"/>
          <a:chOff x="23753" y="989136"/>
          <a:chExt cx="1724265" cy="444500"/>
        </a:xfrm>
      </xdr:grpSpPr>
      <xdr:sp macro="" textlink="">
        <xdr:nvSpPr>
          <xdr:cNvPr id="254" name="Rectangle: Rounded Corners 253">
            <a:extLst>
              <a:ext uri="{FF2B5EF4-FFF2-40B4-BE49-F238E27FC236}">
                <a16:creationId xmlns:a16="http://schemas.microsoft.com/office/drawing/2014/main" id="{B7C9672A-EA3E-A493-47AD-A123971D8AF1}"/>
              </a:ext>
            </a:extLst>
          </xdr:cNvPr>
          <xdr:cNvSpPr/>
        </xdr:nvSpPr>
        <xdr:spPr>
          <a:xfrm>
            <a:off x="23753" y="989136"/>
            <a:ext cx="1708150" cy="444500"/>
          </a:xfrm>
          <a:prstGeom prst="roundRect">
            <a:avLst>
              <a:gd name="adj" fmla="val 6708"/>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5" name="TextBox 254">
            <a:hlinkClick xmlns:r="http://schemas.openxmlformats.org/officeDocument/2006/relationships" r:id="rId5"/>
            <a:extLst>
              <a:ext uri="{FF2B5EF4-FFF2-40B4-BE49-F238E27FC236}">
                <a16:creationId xmlns:a16="http://schemas.microsoft.com/office/drawing/2014/main" id="{8AB6257A-C7C5-678F-4920-28BD9196EAB9}"/>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EQA                </a:t>
            </a:r>
            <a:endParaRPr lang="en-US" sz="1600">
              <a:solidFill>
                <a:schemeClr val="bg1"/>
              </a:solidFill>
            </a:endParaRPr>
          </a:p>
        </xdr:txBody>
      </xdr:sp>
      <xdr:sp macro="" textlink="">
        <xdr:nvSpPr>
          <xdr:cNvPr id="256" name="Oval 255">
            <a:extLst>
              <a:ext uri="{FF2B5EF4-FFF2-40B4-BE49-F238E27FC236}">
                <a16:creationId xmlns:a16="http://schemas.microsoft.com/office/drawing/2014/main" id="{FAABC5A5-1D0B-AF29-229B-3664E4C932FA}"/>
              </a:ext>
            </a:extLst>
          </xdr:cNvPr>
          <xdr:cNvSpPr/>
        </xdr:nvSpPr>
        <xdr:spPr>
          <a:xfrm>
            <a:off x="118209" y="1066129"/>
            <a:ext cx="285750" cy="289718"/>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46539</xdr:rowOff>
    </xdr:from>
    <xdr:to>
      <xdr:col>0</xdr:col>
      <xdr:colOff>1717958</xdr:colOff>
      <xdr:row>5</xdr:row>
      <xdr:rowOff>494351</xdr:rowOff>
    </xdr:to>
    <xdr:grpSp>
      <xdr:nvGrpSpPr>
        <xdr:cNvPr id="131" name="Group 130">
          <a:extLst>
            <a:ext uri="{FF2B5EF4-FFF2-40B4-BE49-F238E27FC236}">
              <a16:creationId xmlns:a16="http://schemas.microsoft.com/office/drawing/2014/main" id="{2B992D4A-3C10-CBE2-58B8-8901A0779908}"/>
            </a:ext>
          </a:extLst>
        </xdr:cNvPr>
        <xdr:cNvGrpSpPr/>
      </xdr:nvGrpSpPr>
      <xdr:grpSpPr>
        <a:xfrm>
          <a:off x="13063" y="2065839"/>
          <a:ext cx="1704895" cy="447812"/>
          <a:chOff x="13593" y="1983238"/>
          <a:chExt cx="1722818" cy="443309"/>
        </a:xfrm>
      </xdr:grpSpPr>
      <xdr:sp macro="" textlink="">
        <xdr:nvSpPr>
          <xdr:cNvPr id="251" name="Rectangle: Rounded Corners 250">
            <a:extLst>
              <a:ext uri="{FF2B5EF4-FFF2-40B4-BE49-F238E27FC236}">
                <a16:creationId xmlns:a16="http://schemas.microsoft.com/office/drawing/2014/main" id="{BCDE577D-0250-07D1-A486-8E0F48AB4986}"/>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2" name="TextBox 251">
            <a:hlinkClick xmlns:r="http://schemas.openxmlformats.org/officeDocument/2006/relationships" r:id="rId6"/>
            <a:extLst>
              <a:ext uri="{FF2B5EF4-FFF2-40B4-BE49-F238E27FC236}">
                <a16:creationId xmlns:a16="http://schemas.microsoft.com/office/drawing/2014/main" id="{DBDCDAA1-60AC-3C9F-2EDD-CF96E654EE18}"/>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253" name="Oval 252">
            <a:extLst>
              <a:ext uri="{FF2B5EF4-FFF2-40B4-BE49-F238E27FC236}">
                <a16:creationId xmlns:a16="http://schemas.microsoft.com/office/drawing/2014/main" id="{3142AC02-7DDE-61D1-A7D2-6FCA46D4C5BF}"/>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516002</xdr:rowOff>
    </xdr:from>
    <xdr:to>
      <xdr:col>0</xdr:col>
      <xdr:colOff>1715516</xdr:colOff>
      <xdr:row>6</xdr:row>
      <xdr:rowOff>409527</xdr:rowOff>
    </xdr:to>
    <xdr:grpSp>
      <xdr:nvGrpSpPr>
        <xdr:cNvPr id="132" name="Group 131">
          <a:extLst>
            <a:ext uri="{FF2B5EF4-FFF2-40B4-BE49-F238E27FC236}">
              <a16:creationId xmlns:a16="http://schemas.microsoft.com/office/drawing/2014/main" id="{7F8C558E-7968-3EEC-0D79-556AF72D1714}"/>
            </a:ext>
          </a:extLst>
        </xdr:cNvPr>
        <xdr:cNvGrpSpPr/>
      </xdr:nvGrpSpPr>
      <xdr:grpSpPr>
        <a:xfrm>
          <a:off x="12799" y="2535302"/>
          <a:ext cx="1702717" cy="445975"/>
          <a:chOff x="13317" y="2459028"/>
          <a:chExt cx="1720554" cy="441552"/>
        </a:xfrm>
      </xdr:grpSpPr>
      <xdr:sp macro="" textlink="">
        <xdr:nvSpPr>
          <xdr:cNvPr id="248" name="Rectangle: Rounded Corners 247">
            <a:extLst>
              <a:ext uri="{FF2B5EF4-FFF2-40B4-BE49-F238E27FC236}">
                <a16:creationId xmlns:a16="http://schemas.microsoft.com/office/drawing/2014/main" id="{96C68EBC-2D58-AB7E-49C0-9240B9A1D4ED}"/>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9" name="TextBox 248">
            <a:hlinkClick xmlns:r="http://schemas.openxmlformats.org/officeDocument/2006/relationships" r:id="rId7"/>
            <a:extLst>
              <a:ext uri="{FF2B5EF4-FFF2-40B4-BE49-F238E27FC236}">
                <a16:creationId xmlns:a16="http://schemas.microsoft.com/office/drawing/2014/main" id="{9EF4E3FC-F627-6849-3116-BF01BB00D1F0}"/>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250" name="Oval 249">
            <a:extLst>
              <a:ext uri="{FF2B5EF4-FFF2-40B4-BE49-F238E27FC236}">
                <a16:creationId xmlns:a16="http://schemas.microsoft.com/office/drawing/2014/main" id="{75863D64-3AB6-8F63-3982-0337AFF14E4D}"/>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423806</xdr:rowOff>
    </xdr:from>
    <xdr:to>
      <xdr:col>0</xdr:col>
      <xdr:colOff>1713076</xdr:colOff>
      <xdr:row>7</xdr:row>
      <xdr:rowOff>146052</xdr:rowOff>
    </xdr:to>
    <xdr:grpSp>
      <xdr:nvGrpSpPr>
        <xdr:cNvPr id="133" name="Group 132">
          <a:extLst>
            <a:ext uri="{FF2B5EF4-FFF2-40B4-BE49-F238E27FC236}">
              <a16:creationId xmlns:a16="http://schemas.microsoft.com/office/drawing/2014/main" id="{E4B95C83-C639-0D2F-CD1B-0C7F03330CB4}"/>
            </a:ext>
          </a:extLst>
        </xdr:cNvPr>
        <xdr:cNvGrpSpPr/>
      </xdr:nvGrpSpPr>
      <xdr:grpSpPr>
        <a:xfrm>
          <a:off x="8181" y="2995556"/>
          <a:ext cx="1704895" cy="458846"/>
          <a:chOff x="8513" y="2976867"/>
          <a:chExt cx="1722818" cy="451725"/>
        </a:xfrm>
      </xdr:grpSpPr>
      <xdr:sp macro="" textlink="">
        <xdr:nvSpPr>
          <xdr:cNvPr id="244" name="Rectangle: Rounded Corners 243">
            <a:extLst>
              <a:ext uri="{FF2B5EF4-FFF2-40B4-BE49-F238E27FC236}">
                <a16:creationId xmlns:a16="http://schemas.microsoft.com/office/drawing/2014/main" id="{F66FDD4F-7BC3-4830-2270-2BE0CDA6D44E}"/>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5" name="TextBox 244">
            <a:hlinkClick xmlns:r="http://schemas.openxmlformats.org/officeDocument/2006/relationships" r:id="rId7"/>
            <a:extLst>
              <a:ext uri="{FF2B5EF4-FFF2-40B4-BE49-F238E27FC236}">
                <a16:creationId xmlns:a16="http://schemas.microsoft.com/office/drawing/2014/main" id="{B7ACD2B0-DE9D-A9F8-7ED4-7F75783A26F7}"/>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46" name="Oval 245">
            <a:extLst>
              <a:ext uri="{FF2B5EF4-FFF2-40B4-BE49-F238E27FC236}">
                <a16:creationId xmlns:a16="http://schemas.microsoft.com/office/drawing/2014/main" id="{C8940E3E-31B5-CECF-0C15-C9A39842C0ED}"/>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7" name="TextBox 246">
            <a:hlinkClick xmlns:r="http://schemas.openxmlformats.org/officeDocument/2006/relationships" r:id="rId8"/>
            <a:extLst>
              <a:ext uri="{FF2B5EF4-FFF2-40B4-BE49-F238E27FC236}">
                <a16:creationId xmlns:a16="http://schemas.microsoft.com/office/drawing/2014/main" id="{FD4696FB-2445-2FE2-BEB1-B8A4353B2573}"/>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25914</xdr:rowOff>
    </xdr:to>
    <xdr:grpSp>
      <xdr:nvGrpSpPr>
        <xdr:cNvPr id="134" name="Group 133">
          <a:extLst>
            <a:ext uri="{FF2B5EF4-FFF2-40B4-BE49-F238E27FC236}">
              <a16:creationId xmlns:a16="http://schemas.microsoft.com/office/drawing/2014/main" id="{D7BEDE90-4EA8-A872-C9F4-B74FC5064A21}"/>
            </a:ext>
          </a:extLst>
        </xdr:cNvPr>
        <xdr:cNvGrpSpPr/>
      </xdr:nvGrpSpPr>
      <xdr:grpSpPr>
        <a:xfrm>
          <a:off x="11772" y="1596375"/>
          <a:ext cx="1704895" cy="448839"/>
          <a:chOff x="21544" y="1467318"/>
          <a:chExt cx="1724265" cy="477164"/>
        </a:xfrm>
      </xdr:grpSpPr>
      <xdr:sp macro="" textlink="">
        <xdr:nvSpPr>
          <xdr:cNvPr id="241" name="Rectangle: Rounded Corners 240">
            <a:extLst>
              <a:ext uri="{FF2B5EF4-FFF2-40B4-BE49-F238E27FC236}">
                <a16:creationId xmlns:a16="http://schemas.microsoft.com/office/drawing/2014/main" id="{952395EA-21BB-9417-C687-B749C6516D22}"/>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2" name="TextBox 241">
            <a:hlinkClick xmlns:r="http://schemas.openxmlformats.org/officeDocument/2006/relationships" r:id="rId9"/>
            <a:extLst>
              <a:ext uri="{FF2B5EF4-FFF2-40B4-BE49-F238E27FC236}">
                <a16:creationId xmlns:a16="http://schemas.microsoft.com/office/drawing/2014/main" id="{446718C1-DF7B-D9DF-C032-76AF56884A31}"/>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243" name="Oval 242">
            <a:extLst>
              <a:ext uri="{FF2B5EF4-FFF2-40B4-BE49-F238E27FC236}">
                <a16:creationId xmlns:a16="http://schemas.microsoft.com/office/drawing/2014/main" id="{6A8024F2-1165-B2A9-8AC2-05D37A930FAD}"/>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159236</xdr:rowOff>
    </xdr:from>
    <xdr:to>
      <xdr:col>0</xdr:col>
      <xdr:colOff>1713094</xdr:colOff>
      <xdr:row>8</xdr:row>
      <xdr:rowOff>90305</xdr:rowOff>
    </xdr:to>
    <xdr:grpSp>
      <xdr:nvGrpSpPr>
        <xdr:cNvPr id="135" name="Group 134">
          <a:extLst>
            <a:ext uri="{FF2B5EF4-FFF2-40B4-BE49-F238E27FC236}">
              <a16:creationId xmlns:a16="http://schemas.microsoft.com/office/drawing/2014/main" id="{EDE4C09B-A252-550B-E674-14ABDEDFE3AB}"/>
            </a:ext>
          </a:extLst>
        </xdr:cNvPr>
        <xdr:cNvGrpSpPr/>
      </xdr:nvGrpSpPr>
      <xdr:grpSpPr>
        <a:xfrm>
          <a:off x="8199" y="3467586"/>
          <a:ext cx="1704895" cy="483519"/>
          <a:chOff x="8532" y="3456662"/>
          <a:chExt cx="1722818" cy="482122"/>
        </a:xfrm>
      </xdr:grpSpPr>
      <xdr:sp macro="" textlink="">
        <xdr:nvSpPr>
          <xdr:cNvPr id="237" name="Rectangle: Rounded Corners 236">
            <a:extLst>
              <a:ext uri="{FF2B5EF4-FFF2-40B4-BE49-F238E27FC236}">
                <a16:creationId xmlns:a16="http://schemas.microsoft.com/office/drawing/2014/main" id="{4F04FB33-BCF7-CF3C-9511-B12D3A065BB0}"/>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8" name="TextBox 237">
            <a:hlinkClick xmlns:r="http://schemas.openxmlformats.org/officeDocument/2006/relationships" r:id="rId10"/>
            <a:extLst>
              <a:ext uri="{FF2B5EF4-FFF2-40B4-BE49-F238E27FC236}">
                <a16:creationId xmlns:a16="http://schemas.microsoft.com/office/drawing/2014/main" id="{FDCCC56F-6853-28DB-9571-6D3B9F9A338D}"/>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39" name="Oval 238">
            <a:extLst>
              <a:ext uri="{FF2B5EF4-FFF2-40B4-BE49-F238E27FC236}">
                <a16:creationId xmlns:a16="http://schemas.microsoft.com/office/drawing/2014/main" id="{1EC2E3E0-B374-D52A-BD2D-A2CC17AC9738}"/>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0" name="TextBox 239">
            <a:hlinkClick xmlns:r="http://schemas.openxmlformats.org/officeDocument/2006/relationships" r:id="rId10"/>
            <a:extLst>
              <a:ext uri="{FF2B5EF4-FFF2-40B4-BE49-F238E27FC236}">
                <a16:creationId xmlns:a16="http://schemas.microsoft.com/office/drawing/2014/main" id="{3AA21A57-1278-23F9-A2B9-D045208706EF}"/>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103103</xdr:rowOff>
    </xdr:from>
    <xdr:to>
      <xdr:col>0</xdr:col>
      <xdr:colOff>1713246</xdr:colOff>
      <xdr:row>8</xdr:row>
      <xdr:rowOff>564910</xdr:rowOff>
    </xdr:to>
    <xdr:grpSp>
      <xdr:nvGrpSpPr>
        <xdr:cNvPr id="136" name="Group 135">
          <a:extLst>
            <a:ext uri="{FF2B5EF4-FFF2-40B4-BE49-F238E27FC236}">
              <a16:creationId xmlns:a16="http://schemas.microsoft.com/office/drawing/2014/main" id="{DF272961-8DF7-07CC-C441-617A3D8CE5FF}"/>
            </a:ext>
          </a:extLst>
        </xdr:cNvPr>
        <xdr:cNvGrpSpPr/>
      </xdr:nvGrpSpPr>
      <xdr:grpSpPr>
        <a:xfrm>
          <a:off x="6077" y="3963903"/>
          <a:ext cx="1707169" cy="461807"/>
          <a:chOff x="6323" y="3964228"/>
          <a:chExt cx="1725184" cy="454551"/>
        </a:xfrm>
      </xdr:grpSpPr>
      <xdr:sp macro="" textlink="">
        <xdr:nvSpPr>
          <xdr:cNvPr id="233" name="Rectangle: Rounded Corners 232">
            <a:extLst>
              <a:ext uri="{FF2B5EF4-FFF2-40B4-BE49-F238E27FC236}">
                <a16:creationId xmlns:a16="http://schemas.microsoft.com/office/drawing/2014/main" id="{A0EE3A6A-DA9B-C9E7-EE98-5D191BCB4956}"/>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4" name="TextBox 233">
            <a:hlinkClick xmlns:r="http://schemas.openxmlformats.org/officeDocument/2006/relationships" r:id="rId11"/>
            <a:extLst>
              <a:ext uri="{FF2B5EF4-FFF2-40B4-BE49-F238E27FC236}">
                <a16:creationId xmlns:a16="http://schemas.microsoft.com/office/drawing/2014/main" id="{B6EA22A5-18DE-B94C-07B7-204812F8724F}"/>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5" name="Oval 234">
            <a:extLst>
              <a:ext uri="{FF2B5EF4-FFF2-40B4-BE49-F238E27FC236}">
                <a16:creationId xmlns:a16="http://schemas.microsoft.com/office/drawing/2014/main" id="{B5ABF0F8-43F6-8F5C-EB6F-E6902E0C7380}"/>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6" name="TextBox 235">
            <a:hlinkClick xmlns:r="http://schemas.openxmlformats.org/officeDocument/2006/relationships" r:id="rId11"/>
            <a:extLst>
              <a:ext uri="{FF2B5EF4-FFF2-40B4-BE49-F238E27FC236}">
                <a16:creationId xmlns:a16="http://schemas.microsoft.com/office/drawing/2014/main" id="{D9AED164-456D-5546-D026-0C39B33CABB4}"/>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582140</xdr:rowOff>
    </xdr:from>
    <xdr:to>
      <xdr:col>0</xdr:col>
      <xdr:colOff>1709917</xdr:colOff>
      <xdr:row>9</xdr:row>
      <xdr:rowOff>340158</xdr:rowOff>
    </xdr:to>
    <xdr:grpSp>
      <xdr:nvGrpSpPr>
        <xdr:cNvPr id="137" name="Group 136">
          <a:extLst>
            <a:ext uri="{FF2B5EF4-FFF2-40B4-BE49-F238E27FC236}">
              <a16:creationId xmlns:a16="http://schemas.microsoft.com/office/drawing/2014/main" id="{ED262F22-6518-5DB9-F345-4EE9879E7873}"/>
            </a:ext>
          </a:extLst>
        </xdr:cNvPr>
        <xdr:cNvGrpSpPr/>
      </xdr:nvGrpSpPr>
      <xdr:grpSpPr>
        <a:xfrm>
          <a:off x="2748" y="4442940"/>
          <a:ext cx="1707169" cy="494618"/>
          <a:chOff x="2860" y="4442071"/>
          <a:chExt cx="1725184" cy="485874"/>
        </a:xfrm>
      </xdr:grpSpPr>
      <xdr:sp macro="" textlink="">
        <xdr:nvSpPr>
          <xdr:cNvPr id="229" name="Rectangle: Rounded Corners 228">
            <a:extLst>
              <a:ext uri="{FF2B5EF4-FFF2-40B4-BE49-F238E27FC236}">
                <a16:creationId xmlns:a16="http://schemas.microsoft.com/office/drawing/2014/main" id="{69F59F98-3BDF-2B32-8616-A21B696B578D}"/>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0" name="TextBox 229">
            <a:hlinkClick xmlns:r="http://schemas.openxmlformats.org/officeDocument/2006/relationships" r:id="rId12"/>
            <a:extLst>
              <a:ext uri="{FF2B5EF4-FFF2-40B4-BE49-F238E27FC236}">
                <a16:creationId xmlns:a16="http://schemas.microsoft.com/office/drawing/2014/main" id="{9D7C52C1-8FC0-121D-5D64-0A6944B2060F}"/>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1" name="Oval 230">
            <a:extLst>
              <a:ext uri="{FF2B5EF4-FFF2-40B4-BE49-F238E27FC236}">
                <a16:creationId xmlns:a16="http://schemas.microsoft.com/office/drawing/2014/main" id="{7865F112-061E-7677-ECD3-9D78F73FFADE}"/>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2" name="TextBox 231">
            <a:hlinkClick xmlns:r="http://schemas.openxmlformats.org/officeDocument/2006/relationships" r:id="rId12"/>
            <a:extLst>
              <a:ext uri="{FF2B5EF4-FFF2-40B4-BE49-F238E27FC236}">
                <a16:creationId xmlns:a16="http://schemas.microsoft.com/office/drawing/2014/main" id="{D669586F-28B2-88E7-A98B-48C76A45F1E3}"/>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362497</xdr:rowOff>
    </xdr:from>
    <xdr:to>
      <xdr:col>0</xdr:col>
      <xdr:colOff>1709302</xdr:colOff>
      <xdr:row>10</xdr:row>
      <xdr:rowOff>266381</xdr:rowOff>
    </xdr:to>
    <xdr:grpSp>
      <xdr:nvGrpSpPr>
        <xdr:cNvPr id="138" name="Group 137">
          <a:extLst>
            <a:ext uri="{FF2B5EF4-FFF2-40B4-BE49-F238E27FC236}">
              <a16:creationId xmlns:a16="http://schemas.microsoft.com/office/drawing/2014/main" id="{2E288308-18FC-ACC2-4CB3-E82FAA5DC52D}"/>
            </a:ext>
          </a:extLst>
        </xdr:cNvPr>
        <xdr:cNvGrpSpPr/>
      </xdr:nvGrpSpPr>
      <xdr:grpSpPr>
        <a:xfrm>
          <a:off x="2133" y="4959897"/>
          <a:ext cx="1707169" cy="456334"/>
          <a:chOff x="2219" y="4949272"/>
          <a:chExt cx="1725184" cy="456170"/>
        </a:xfrm>
      </xdr:grpSpPr>
      <xdr:sp macro="" textlink="">
        <xdr:nvSpPr>
          <xdr:cNvPr id="225" name="Rectangle: Rounded Corners 224">
            <a:extLst>
              <a:ext uri="{FF2B5EF4-FFF2-40B4-BE49-F238E27FC236}">
                <a16:creationId xmlns:a16="http://schemas.microsoft.com/office/drawing/2014/main" id="{2F5D05E6-9261-5F61-AC20-F1D32CDAD6F5}"/>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6" name="TextBox 225">
            <a:hlinkClick xmlns:r="http://schemas.openxmlformats.org/officeDocument/2006/relationships" r:id="rId13"/>
            <a:extLst>
              <a:ext uri="{FF2B5EF4-FFF2-40B4-BE49-F238E27FC236}">
                <a16:creationId xmlns:a16="http://schemas.microsoft.com/office/drawing/2014/main" id="{FA4B040E-211E-DB81-FFB8-4C92C045CDC0}"/>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7" name="Oval 226">
            <a:extLst>
              <a:ext uri="{FF2B5EF4-FFF2-40B4-BE49-F238E27FC236}">
                <a16:creationId xmlns:a16="http://schemas.microsoft.com/office/drawing/2014/main" id="{A99DBA2F-4549-711A-2527-C520E0D0C534}"/>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8" name="TextBox 227">
            <a:hlinkClick xmlns:r="http://schemas.openxmlformats.org/officeDocument/2006/relationships" r:id="rId13"/>
            <a:extLst>
              <a:ext uri="{FF2B5EF4-FFF2-40B4-BE49-F238E27FC236}">
                <a16:creationId xmlns:a16="http://schemas.microsoft.com/office/drawing/2014/main" id="{3308346F-FE2B-1040-1447-AD7BCF362B12}"/>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10</xdr:row>
      <xdr:rowOff>285298</xdr:rowOff>
    </xdr:from>
    <xdr:to>
      <xdr:col>0</xdr:col>
      <xdr:colOff>1709298</xdr:colOff>
      <xdr:row>11</xdr:row>
      <xdr:rowOff>222194</xdr:rowOff>
    </xdr:to>
    <xdr:grpSp>
      <xdr:nvGrpSpPr>
        <xdr:cNvPr id="139" name="Group 138">
          <a:extLst>
            <a:ext uri="{FF2B5EF4-FFF2-40B4-BE49-F238E27FC236}">
              <a16:creationId xmlns:a16="http://schemas.microsoft.com/office/drawing/2014/main" id="{482DC476-DB10-BE3D-7A39-71A48DBB64AE}"/>
            </a:ext>
          </a:extLst>
        </xdr:cNvPr>
        <xdr:cNvGrpSpPr/>
      </xdr:nvGrpSpPr>
      <xdr:grpSpPr>
        <a:xfrm>
          <a:off x="2129" y="5435148"/>
          <a:ext cx="1707169" cy="489346"/>
          <a:chOff x="2215" y="5434042"/>
          <a:chExt cx="1725184" cy="486597"/>
        </a:xfrm>
      </xdr:grpSpPr>
      <xdr:sp macro="" textlink="">
        <xdr:nvSpPr>
          <xdr:cNvPr id="221" name="Rectangle: Rounded Corners 220">
            <a:extLst>
              <a:ext uri="{FF2B5EF4-FFF2-40B4-BE49-F238E27FC236}">
                <a16:creationId xmlns:a16="http://schemas.microsoft.com/office/drawing/2014/main" id="{77D4CE2D-3D4C-A0E1-B01A-5FDCAEF89CDE}"/>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2" name="TextBox 221">
            <a:hlinkClick xmlns:r="http://schemas.openxmlformats.org/officeDocument/2006/relationships" r:id="rId14"/>
            <a:extLst>
              <a:ext uri="{FF2B5EF4-FFF2-40B4-BE49-F238E27FC236}">
                <a16:creationId xmlns:a16="http://schemas.microsoft.com/office/drawing/2014/main" id="{F22FA9E4-C805-C561-10D6-D7C0883D39AC}"/>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3" name="Oval 222">
            <a:extLst>
              <a:ext uri="{FF2B5EF4-FFF2-40B4-BE49-F238E27FC236}">
                <a16:creationId xmlns:a16="http://schemas.microsoft.com/office/drawing/2014/main" id="{EC9D95AA-812B-DFC6-131B-FF090A99C2DA}"/>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4" name="TextBox 223">
            <a:hlinkClick xmlns:r="http://schemas.openxmlformats.org/officeDocument/2006/relationships" r:id="rId14"/>
            <a:extLst>
              <a:ext uri="{FF2B5EF4-FFF2-40B4-BE49-F238E27FC236}">
                <a16:creationId xmlns:a16="http://schemas.microsoft.com/office/drawing/2014/main" id="{1C600B2F-1180-85DB-46F8-E48EB9B12DC7}"/>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240049</xdr:rowOff>
    </xdr:from>
    <xdr:to>
      <xdr:col>0</xdr:col>
      <xdr:colOff>1709296</xdr:colOff>
      <xdr:row>12</xdr:row>
      <xdr:rowOff>182217</xdr:rowOff>
    </xdr:to>
    <xdr:grpSp>
      <xdr:nvGrpSpPr>
        <xdr:cNvPr id="140" name="Group 139">
          <a:extLst>
            <a:ext uri="{FF2B5EF4-FFF2-40B4-BE49-F238E27FC236}">
              <a16:creationId xmlns:a16="http://schemas.microsoft.com/office/drawing/2014/main" id="{21E0E05F-D9FC-9CFE-C80D-72888AD08028}"/>
            </a:ext>
          </a:extLst>
        </xdr:cNvPr>
        <xdr:cNvGrpSpPr/>
      </xdr:nvGrpSpPr>
      <xdr:grpSpPr>
        <a:xfrm>
          <a:off x="2127" y="5942349"/>
          <a:ext cx="1707169" cy="494618"/>
          <a:chOff x="2213" y="5938772"/>
          <a:chExt cx="1725184" cy="485874"/>
        </a:xfrm>
      </xdr:grpSpPr>
      <xdr:sp macro="" textlink="">
        <xdr:nvSpPr>
          <xdr:cNvPr id="217" name="Rectangle: Rounded Corners 216">
            <a:extLst>
              <a:ext uri="{FF2B5EF4-FFF2-40B4-BE49-F238E27FC236}">
                <a16:creationId xmlns:a16="http://schemas.microsoft.com/office/drawing/2014/main" id="{F4067736-E851-A274-A985-6B307A60EA46}"/>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8" name="TextBox 217">
            <a:hlinkClick xmlns:r="http://schemas.openxmlformats.org/officeDocument/2006/relationships" r:id="rId15"/>
            <a:extLst>
              <a:ext uri="{FF2B5EF4-FFF2-40B4-BE49-F238E27FC236}">
                <a16:creationId xmlns:a16="http://schemas.microsoft.com/office/drawing/2014/main" id="{35DF0716-E39D-2A33-726A-BF8F2E5324DF}"/>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9" name="Oval 218">
            <a:extLst>
              <a:ext uri="{FF2B5EF4-FFF2-40B4-BE49-F238E27FC236}">
                <a16:creationId xmlns:a16="http://schemas.microsoft.com/office/drawing/2014/main" id="{A38A3D5A-F262-32CA-1778-C10517400A49}"/>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0" name="TextBox 219">
            <a:hlinkClick xmlns:r="http://schemas.openxmlformats.org/officeDocument/2006/relationships" r:id="rId15"/>
            <a:extLst>
              <a:ext uri="{FF2B5EF4-FFF2-40B4-BE49-F238E27FC236}">
                <a16:creationId xmlns:a16="http://schemas.microsoft.com/office/drawing/2014/main" id="{7576E710-4DB4-C75C-9ED3-EAE98BEA08F5}"/>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202007</xdr:rowOff>
    </xdr:from>
    <xdr:to>
      <xdr:col>0</xdr:col>
      <xdr:colOff>1708011</xdr:colOff>
      <xdr:row>13</xdr:row>
      <xdr:rowOff>106681</xdr:rowOff>
    </xdr:to>
    <xdr:grpSp>
      <xdr:nvGrpSpPr>
        <xdr:cNvPr id="141" name="Group 140">
          <a:extLst>
            <a:ext uri="{FF2B5EF4-FFF2-40B4-BE49-F238E27FC236}">
              <a16:creationId xmlns:a16="http://schemas.microsoft.com/office/drawing/2014/main" id="{683444FE-9F21-3851-8BDE-1A3AC03265CB}"/>
            </a:ext>
          </a:extLst>
        </xdr:cNvPr>
        <xdr:cNvGrpSpPr/>
      </xdr:nvGrpSpPr>
      <xdr:grpSpPr>
        <a:xfrm>
          <a:off x="842" y="6456757"/>
          <a:ext cx="1707169" cy="457124"/>
          <a:chOff x="876" y="6443539"/>
          <a:chExt cx="1725184" cy="456924"/>
        </a:xfrm>
      </xdr:grpSpPr>
      <xdr:sp macro="" textlink="">
        <xdr:nvSpPr>
          <xdr:cNvPr id="213" name="Rectangle: Rounded Corners 212">
            <a:extLst>
              <a:ext uri="{FF2B5EF4-FFF2-40B4-BE49-F238E27FC236}">
                <a16:creationId xmlns:a16="http://schemas.microsoft.com/office/drawing/2014/main" id="{59212BE3-41B0-0980-8B98-BA483D9FA3F1}"/>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4" name="TextBox 213">
            <a:hlinkClick xmlns:r="http://schemas.openxmlformats.org/officeDocument/2006/relationships" r:id="rId16"/>
            <a:extLst>
              <a:ext uri="{FF2B5EF4-FFF2-40B4-BE49-F238E27FC236}">
                <a16:creationId xmlns:a16="http://schemas.microsoft.com/office/drawing/2014/main" id="{59A1D73C-658E-C560-307E-35071E98646C}"/>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5" name="Oval 214">
            <a:extLst>
              <a:ext uri="{FF2B5EF4-FFF2-40B4-BE49-F238E27FC236}">
                <a16:creationId xmlns:a16="http://schemas.microsoft.com/office/drawing/2014/main" id="{73C8096D-8A95-71E8-4319-CEE6A5BBB713}"/>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6" name="TextBox 215">
            <a:hlinkClick xmlns:r="http://schemas.openxmlformats.org/officeDocument/2006/relationships" r:id="rId16"/>
            <a:extLst>
              <a:ext uri="{FF2B5EF4-FFF2-40B4-BE49-F238E27FC236}">
                <a16:creationId xmlns:a16="http://schemas.microsoft.com/office/drawing/2014/main" id="{477B40F6-D98A-CA37-A9C5-23C487DC2838}"/>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14</xdr:row>
      <xdr:rowOff>266343</xdr:rowOff>
    </xdr:from>
    <xdr:to>
      <xdr:col>0</xdr:col>
      <xdr:colOff>1708946</xdr:colOff>
      <xdr:row>14</xdr:row>
      <xdr:rowOff>731586</xdr:rowOff>
    </xdr:to>
    <xdr:grpSp>
      <xdr:nvGrpSpPr>
        <xdr:cNvPr id="142" name="Group 141">
          <a:extLst>
            <a:ext uri="{FF2B5EF4-FFF2-40B4-BE49-F238E27FC236}">
              <a16:creationId xmlns:a16="http://schemas.microsoft.com/office/drawing/2014/main" id="{81471F1A-56BE-BC89-44E2-EE747E02BF9A}"/>
            </a:ext>
          </a:extLst>
        </xdr:cNvPr>
        <xdr:cNvGrpSpPr/>
      </xdr:nvGrpSpPr>
      <xdr:grpSpPr>
        <a:xfrm>
          <a:off x="1777" y="7441843"/>
          <a:ext cx="1707169" cy="465243"/>
          <a:chOff x="1849" y="7421500"/>
          <a:chExt cx="1725184" cy="457832"/>
        </a:xfrm>
      </xdr:grpSpPr>
      <xdr:sp macro="" textlink="">
        <xdr:nvSpPr>
          <xdr:cNvPr id="209" name="Rectangle: Rounded Corners 208">
            <a:extLst>
              <a:ext uri="{FF2B5EF4-FFF2-40B4-BE49-F238E27FC236}">
                <a16:creationId xmlns:a16="http://schemas.microsoft.com/office/drawing/2014/main" id="{27101141-9F3A-E5BF-F9D9-6DDBA01AA5C5}"/>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0" name="TextBox 209">
            <a:hlinkClick xmlns:r="http://schemas.openxmlformats.org/officeDocument/2006/relationships" r:id="rId17"/>
            <a:extLst>
              <a:ext uri="{FF2B5EF4-FFF2-40B4-BE49-F238E27FC236}">
                <a16:creationId xmlns:a16="http://schemas.microsoft.com/office/drawing/2014/main" id="{F0E0E794-D722-DD9A-04E0-12058229254D}"/>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1" name="Oval 210">
            <a:extLst>
              <a:ext uri="{FF2B5EF4-FFF2-40B4-BE49-F238E27FC236}">
                <a16:creationId xmlns:a16="http://schemas.microsoft.com/office/drawing/2014/main" id="{C3F46137-36E0-2E61-32EA-362C72D8862C}"/>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2" name="TextBox 211">
            <a:hlinkClick xmlns:r="http://schemas.openxmlformats.org/officeDocument/2006/relationships" r:id="rId17"/>
            <a:extLst>
              <a:ext uri="{FF2B5EF4-FFF2-40B4-BE49-F238E27FC236}">
                <a16:creationId xmlns:a16="http://schemas.microsoft.com/office/drawing/2014/main" id="{1B11DB51-E9E7-82D9-ED70-90041C66CB4E}"/>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15</xdr:row>
      <xdr:rowOff>22534</xdr:rowOff>
    </xdr:from>
    <xdr:to>
      <xdr:col>0</xdr:col>
      <xdr:colOff>1710873</xdr:colOff>
      <xdr:row>16</xdr:row>
      <xdr:rowOff>142679</xdr:rowOff>
    </xdr:to>
    <xdr:grpSp>
      <xdr:nvGrpSpPr>
        <xdr:cNvPr id="143" name="Group 142">
          <a:extLst>
            <a:ext uri="{FF2B5EF4-FFF2-40B4-BE49-F238E27FC236}">
              <a16:creationId xmlns:a16="http://schemas.microsoft.com/office/drawing/2014/main" id="{846194E3-4F97-881E-099A-4912C665F753}"/>
            </a:ext>
          </a:extLst>
        </xdr:cNvPr>
        <xdr:cNvGrpSpPr/>
      </xdr:nvGrpSpPr>
      <xdr:grpSpPr>
        <a:xfrm>
          <a:off x="3704" y="7934634"/>
          <a:ext cx="1707169" cy="488445"/>
          <a:chOff x="3854" y="7898602"/>
          <a:chExt cx="1725184" cy="486825"/>
        </a:xfrm>
      </xdr:grpSpPr>
      <xdr:sp macro="" textlink="">
        <xdr:nvSpPr>
          <xdr:cNvPr id="205" name="Rectangle: Rounded Corners 204">
            <a:extLst>
              <a:ext uri="{FF2B5EF4-FFF2-40B4-BE49-F238E27FC236}">
                <a16:creationId xmlns:a16="http://schemas.microsoft.com/office/drawing/2014/main" id="{823B1045-E10F-8692-4AA3-FE8298F0F4F9}"/>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6" name="TextBox 205">
            <a:hlinkClick xmlns:r="http://schemas.openxmlformats.org/officeDocument/2006/relationships" r:id="rId18"/>
            <a:extLst>
              <a:ext uri="{FF2B5EF4-FFF2-40B4-BE49-F238E27FC236}">
                <a16:creationId xmlns:a16="http://schemas.microsoft.com/office/drawing/2014/main" id="{A608FE92-4EA1-B360-AE28-66CE95CB6C2D}"/>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7" name="Oval 206">
            <a:extLst>
              <a:ext uri="{FF2B5EF4-FFF2-40B4-BE49-F238E27FC236}">
                <a16:creationId xmlns:a16="http://schemas.microsoft.com/office/drawing/2014/main" id="{5E212606-573D-44CB-EC9C-363ECB1EDF5F}"/>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8" name="TextBox 207">
            <a:hlinkClick xmlns:r="http://schemas.openxmlformats.org/officeDocument/2006/relationships" r:id="rId18"/>
            <a:extLst>
              <a:ext uri="{FF2B5EF4-FFF2-40B4-BE49-F238E27FC236}">
                <a16:creationId xmlns:a16="http://schemas.microsoft.com/office/drawing/2014/main" id="{9753CD79-C035-2B50-8202-B60FAA803A30}"/>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16</xdr:row>
      <xdr:rowOff>166785</xdr:rowOff>
    </xdr:from>
    <xdr:to>
      <xdr:col>0</xdr:col>
      <xdr:colOff>1712157</xdr:colOff>
      <xdr:row>17</xdr:row>
      <xdr:rowOff>261217</xdr:rowOff>
    </xdr:to>
    <xdr:grpSp>
      <xdr:nvGrpSpPr>
        <xdr:cNvPr id="144" name="Group 143">
          <a:extLst>
            <a:ext uri="{FF2B5EF4-FFF2-40B4-BE49-F238E27FC236}">
              <a16:creationId xmlns:a16="http://schemas.microsoft.com/office/drawing/2014/main" id="{0F1386B1-BC2E-4B18-DF71-579A8D81DF57}"/>
            </a:ext>
          </a:extLst>
        </xdr:cNvPr>
        <xdr:cNvGrpSpPr/>
      </xdr:nvGrpSpPr>
      <xdr:grpSpPr>
        <a:xfrm>
          <a:off x="4988" y="8447185"/>
          <a:ext cx="1707169" cy="462732"/>
          <a:chOff x="5190" y="8408439"/>
          <a:chExt cx="1725184" cy="455434"/>
        </a:xfrm>
      </xdr:grpSpPr>
      <xdr:sp macro="" textlink="">
        <xdr:nvSpPr>
          <xdr:cNvPr id="201" name="Rectangle: Rounded Corners 200">
            <a:extLst>
              <a:ext uri="{FF2B5EF4-FFF2-40B4-BE49-F238E27FC236}">
                <a16:creationId xmlns:a16="http://schemas.microsoft.com/office/drawing/2014/main" id="{AD452ED8-7A1B-0430-1156-D72A2D017DBB}"/>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2" name="TextBox 201">
            <a:hlinkClick xmlns:r="http://schemas.openxmlformats.org/officeDocument/2006/relationships" r:id="rId19"/>
            <a:extLst>
              <a:ext uri="{FF2B5EF4-FFF2-40B4-BE49-F238E27FC236}">
                <a16:creationId xmlns:a16="http://schemas.microsoft.com/office/drawing/2014/main" id="{6ACA660C-F080-0223-6035-795A915A0B7E}"/>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3" name="Oval 202">
            <a:extLst>
              <a:ext uri="{FF2B5EF4-FFF2-40B4-BE49-F238E27FC236}">
                <a16:creationId xmlns:a16="http://schemas.microsoft.com/office/drawing/2014/main" id="{EB3250A1-A255-8335-885D-142EC85692F2}"/>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4" name="TextBox 203">
            <a:hlinkClick xmlns:r="http://schemas.openxmlformats.org/officeDocument/2006/relationships" r:id="rId19"/>
            <a:extLst>
              <a:ext uri="{FF2B5EF4-FFF2-40B4-BE49-F238E27FC236}">
                <a16:creationId xmlns:a16="http://schemas.microsoft.com/office/drawing/2014/main" id="{E6BE6A21-914A-0646-A235-37F00015B0AC}"/>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17</xdr:row>
      <xdr:rowOff>274005</xdr:rowOff>
    </xdr:from>
    <xdr:to>
      <xdr:col>0</xdr:col>
      <xdr:colOff>1713207</xdr:colOff>
      <xdr:row>18</xdr:row>
      <xdr:rowOff>393582</xdr:rowOff>
    </xdr:to>
    <xdr:grpSp>
      <xdr:nvGrpSpPr>
        <xdr:cNvPr id="145" name="Group 144">
          <a:extLst>
            <a:ext uri="{FF2B5EF4-FFF2-40B4-BE49-F238E27FC236}">
              <a16:creationId xmlns:a16="http://schemas.microsoft.com/office/drawing/2014/main" id="{FBF1F48F-9678-8B4C-C72A-012E725A20B6}"/>
            </a:ext>
          </a:extLst>
        </xdr:cNvPr>
        <xdr:cNvGrpSpPr/>
      </xdr:nvGrpSpPr>
      <xdr:grpSpPr>
        <a:xfrm>
          <a:off x="6038" y="8922705"/>
          <a:ext cx="1707169" cy="487877"/>
          <a:chOff x="6283" y="8882925"/>
          <a:chExt cx="1725184" cy="479438"/>
        </a:xfrm>
      </xdr:grpSpPr>
      <xdr:sp macro="" textlink="">
        <xdr:nvSpPr>
          <xdr:cNvPr id="197" name="Rectangle: Rounded Corners 196">
            <a:extLst>
              <a:ext uri="{FF2B5EF4-FFF2-40B4-BE49-F238E27FC236}">
                <a16:creationId xmlns:a16="http://schemas.microsoft.com/office/drawing/2014/main" id="{16CA14B3-F6DA-00DB-C8D9-61C2F090E954}"/>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8" name="TextBox 197">
            <a:hlinkClick xmlns:r="http://schemas.openxmlformats.org/officeDocument/2006/relationships" r:id="rId20"/>
            <a:extLst>
              <a:ext uri="{FF2B5EF4-FFF2-40B4-BE49-F238E27FC236}">
                <a16:creationId xmlns:a16="http://schemas.microsoft.com/office/drawing/2014/main" id="{B036DB71-05E1-E5D8-A7DD-A64B8E00C990}"/>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9" name="Oval 198">
            <a:extLst>
              <a:ext uri="{FF2B5EF4-FFF2-40B4-BE49-F238E27FC236}">
                <a16:creationId xmlns:a16="http://schemas.microsoft.com/office/drawing/2014/main" id="{7ED19732-0B98-C554-A84D-6CA4D726FB36}"/>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0" name="TextBox 199">
            <a:hlinkClick xmlns:r="http://schemas.openxmlformats.org/officeDocument/2006/relationships" r:id="rId20"/>
            <a:extLst>
              <a:ext uri="{FF2B5EF4-FFF2-40B4-BE49-F238E27FC236}">
                <a16:creationId xmlns:a16="http://schemas.microsoft.com/office/drawing/2014/main" id="{6C63CC27-6755-B814-B0F1-A577E772410A}"/>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18</xdr:row>
      <xdr:rowOff>918790</xdr:rowOff>
    </xdr:from>
    <xdr:to>
      <xdr:col>0</xdr:col>
      <xdr:colOff>1711774</xdr:colOff>
      <xdr:row>19</xdr:row>
      <xdr:rowOff>280403</xdr:rowOff>
    </xdr:to>
    <xdr:grpSp>
      <xdr:nvGrpSpPr>
        <xdr:cNvPr id="146" name="Group 145">
          <a:extLst>
            <a:ext uri="{FF2B5EF4-FFF2-40B4-BE49-F238E27FC236}">
              <a16:creationId xmlns:a16="http://schemas.microsoft.com/office/drawing/2014/main" id="{59610C50-5164-D9C8-C03C-122F166B4064}"/>
            </a:ext>
          </a:extLst>
        </xdr:cNvPr>
        <xdr:cNvGrpSpPr/>
      </xdr:nvGrpSpPr>
      <xdr:grpSpPr>
        <a:xfrm>
          <a:off x="4605" y="9935790"/>
          <a:ext cx="1707169" cy="466513"/>
          <a:chOff x="4792" y="9884285"/>
          <a:chExt cx="1725184" cy="459044"/>
        </a:xfrm>
      </xdr:grpSpPr>
      <xdr:sp macro="" textlink="">
        <xdr:nvSpPr>
          <xdr:cNvPr id="193" name="Rectangle: Rounded Corners 192">
            <a:extLst>
              <a:ext uri="{FF2B5EF4-FFF2-40B4-BE49-F238E27FC236}">
                <a16:creationId xmlns:a16="http://schemas.microsoft.com/office/drawing/2014/main" id="{EAAFB0E1-AE46-C299-7D6F-6F04EF7995AA}"/>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4" name="TextBox 193">
            <a:hlinkClick xmlns:r="http://schemas.openxmlformats.org/officeDocument/2006/relationships" r:id="rId21"/>
            <a:extLst>
              <a:ext uri="{FF2B5EF4-FFF2-40B4-BE49-F238E27FC236}">
                <a16:creationId xmlns:a16="http://schemas.microsoft.com/office/drawing/2014/main" id="{54F1609F-C22B-C71C-288D-A145A3852952}"/>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5" name="Oval 194">
            <a:extLst>
              <a:ext uri="{FF2B5EF4-FFF2-40B4-BE49-F238E27FC236}">
                <a16:creationId xmlns:a16="http://schemas.microsoft.com/office/drawing/2014/main" id="{EE2BED16-F273-4F9D-00EE-7D280100516F}"/>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6" name="TextBox 195">
            <a:hlinkClick xmlns:r="http://schemas.openxmlformats.org/officeDocument/2006/relationships" r:id="rId21"/>
            <a:extLst>
              <a:ext uri="{FF2B5EF4-FFF2-40B4-BE49-F238E27FC236}">
                <a16:creationId xmlns:a16="http://schemas.microsoft.com/office/drawing/2014/main" id="{690725E8-B4E0-C36A-6497-E1CBCF48088B}"/>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18</xdr:row>
      <xdr:rowOff>411565</xdr:rowOff>
    </xdr:from>
    <xdr:to>
      <xdr:col>0</xdr:col>
      <xdr:colOff>1712537</xdr:colOff>
      <xdr:row>18</xdr:row>
      <xdr:rowOff>894511</xdr:rowOff>
    </xdr:to>
    <xdr:grpSp>
      <xdr:nvGrpSpPr>
        <xdr:cNvPr id="147" name="Group 146">
          <a:extLst>
            <a:ext uri="{FF2B5EF4-FFF2-40B4-BE49-F238E27FC236}">
              <a16:creationId xmlns:a16="http://schemas.microsoft.com/office/drawing/2014/main" id="{06A5E6FF-5373-20D1-DE37-C9D13C5E8109}"/>
            </a:ext>
          </a:extLst>
        </xdr:cNvPr>
        <xdr:cNvGrpSpPr/>
      </xdr:nvGrpSpPr>
      <xdr:grpSpPr>
        <a:xfrm>
          <a:off x="5368" y="9428565"/>
          <a:ext cx="1707169" cy="482946"/>
          <a:chOff x="5586" y="9379532"/>
          <a:chExt cx="1725184" cy="481576"/>
        </a:xfrm>
      </xdr:grpSpPr>
      <xdr:sp macro="" textlink="">
        <xdr:nvSpPr>
          <xdr:cNvPr id="189" name="Rectangle: Rounded Corners 188">
            <a:extLst>
              <a:ext uri="{FF2B5EF4-FFF2-40B4-BE49-F238E27FC236}">
                <a16:creationId xmlns:a16="http://schemas.microsoft.com/office/drawing/2014/main" id="{B6C54DE2-7DB3-DC3C-95C7-E83ACCACB28D}"/>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0" name="TextBox 189">
            <a:hlinkClick xmlns:r="http://schemas.openxmlformats.org/officeDocument/2006/relationships" r:id="rId22"/>
            <a:extLst>
              <a:ext uri="{FF2B5EF4-FFF2-40B4-BE49-F238E27FC236}">
                <a16:creationId xmlns:a16="http://schemas.microsoft.com/office/drawing/2014/main" id="{1CC21C47-0F9B-2E86-D49A-1530FB893938}"/>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1" name="Oval 190">
            <a:extLst>
              <a:ext uri="{FF2B5EF4-FFF2-40B4-BE49-F238E27FC236}">
                <a16:creationId xmlns:a16="http://schemas.microsoft.com/office/drawing/2014/main" id="{4E9A8E0D-A6BF-9CF3-5335-0873D4029BE0}"/>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2" name="TextBox 191">
            <a:hlinkClick xmlns:r="http://schemas.openxmlformats.org/officeDocument/2006/relationships" r:id="rId22"/>
            <a:extLst>
              <a:ext uri="{FF2B5EF4-FFF2-40B4-BE49-F238E27FC236}">
                <a16:creationId xmlns:a16="http://schemas.microsoft.com/office/drawing/2014/main" id="{515A4A89-907B-EDC7-0BC3-1500C16EFC28}"/>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19</xdr:row>
      <xdr:rowOff>288802</xdr:rowOff>
    </xdr:from>
    <xdr:to>
      <xdr:col>0</xdr:col>
      <xdr:colOff>1711005</xdr:colOff>
      <xdr:row>20</xdr:row>
      <xdr:rowOff>231599</xdr:rowOff>
    </xdr:to>
    <xdr:grpSp>
      <xdr:nvGrpSpPr>
        <xdr:cNvPr id="148" name="Group 147">
          <a:extLst>
            <a:ext uri="{FF2B5EF4-FFF2-40B4-BE49-F238E27FC236}">
              <a16:creationId xmlns:a16="http://schemas.microsoft.com/office/drawing/2014/main" id="{44B562C9-0062-B8B9-7651-23B05BCCC451}"/>
            </a:ext>
          </a:extLst>
        </xdr:cNvPr>
        <xdr:cNvGrpSpPr/>
      </xdr:nvGrpSpPr>
      <xdr:grpSpPr>
        <a:xfrm>
          <a:off x="3836" y="10410702"/>
          <a:ext cx="1707169" cy="495247"/>
          <a:chOff x="3992" y="10358190"/>
          <a:chExt cx="1725184" cy="486476"/>
        </a:xfrm>
      </xdr:grpSpPr>
      <xdr:sp macro="" textlink="">
        <xdr:nvSpPr>
          <xdr:cNvPr id="185" name="Rectangle: Rounded Corners 184">
            <a:extLst>
              <a:ext uri="{FF2B5EF4-FFF2-40B4-BE49-F238E27FC236}">
                <a16:creationId xmlns:a16="http://schemas.microsoft.com/office/drawing/2014/main" id="{076EB463-49BD-AE7A-FFB0-73A9A5341451}"/>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6" name="TextBox 185">
            <a:hlinkClick xmlns:r="http://schemas.openxmlformats.org/officeDocument/2006/relationships" r:id="rId23"/>
            <a:extLst>
              <a:ext uri="{FF2B5EF4-FFF2-40B4-BE49-F238E27FC236}">
                <a16:creationId xmlns:a16="http://schemas.microsoft.com/office/drawing/2014/main" id="{C5FDD04F-6A73-DCA8-7F4C-B4F41B748B1B}"/>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87" name="Oval 186">
            <a:extLst>
              <a:ext uri="{FF2B5EF4-FFF2-40B4-BE49-F238E27FC236}">
                <a16:creationId xmlns:a16="http://schemas.microsoft.com/office/drawing/2014/main" id="{1637A466-AB52-397A-554D-C3F65DAFABA5}"/>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8" name="TextBox 187">
            <a:hlinkClick xmlns:r="http://schemas.openxmlformats.org/officeDocument/2006/relationships" r:id="rId23"/>
            <a:extLst>
              <a:ext uri="{FF2B5EF4-FFF2-40B4-BE49-F238E27FC236}">
                <a16:creationId xmlns:a16="http://schemas.microsoft.com/office/drawing/2014/main" id="{092B530F-B51F-7C92-6C65-DC6138C8FF2F}"/>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20</xdr:row>
      <xdr:rowOff>248916</xdr:rowOff>
    </xdr:from>
    <xdr:to>
      <xdr:col>0</xdr:col>
      <xdr:colOff>1712668</xdr:colOff>
      <xdr:row>21</xdr:row>
      <xdr:rowOff>152044</xdr:rowOff>
    </xdr:to>
    <xdr:grpSp>
      <xdr:nvGrpSpPr>
        <xdr:cNvPr id="150" name="Group 149">
          <a:extLst>
            <a:ext uri="{FF2B5EF4-FFF2-40B4-BE49-F238E27FC236}">
              <a16:creationId xmlns:a16="http://schemas.microsoft.com/office/drawing/2014/main" id="{FFEED4B8-851F-2DE4-C62C-307E719D8F37}"/>
            </a:ext>
          </a:extLst>
        </xdr:cNvPr>
        <xdr:cNvGrpSpPr/>
      </xdr:nvGrpSpPr>
      <xdr:grpSpPr>
        <a:xfrm>
          <a:off x="5499" y="10923266"/>
          <a:ext cx="1707169" cy="455578"/>
          <a:chOff x="5723" y="10874564"/>
          <a:chExt cx="1725184" cy="455447"/>
        </a:xfrm>
      </xdr:grpSpPr>
      <xdr:sp macro="" textlink="">
        <xdr:nvSpPr>
          <xdr:cNvPr id="177" name="Rectangle: Rounded Corners 176">
            <a:extLst>
              <a:ext uri="{FF2B5EF4-FFF2-40B4-BE49-F238E27FC236}">
                <a16:creationId xmlns:a16="http://schemas.microsoft.com/office/drawing/2014/main" id="{EF95224E-A214-4D94-0BB9-298490BFD94F}"/>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24"/>
            <a:extLst>
              <a:ext uri="{FF2B5EF4-FFF2-40B4-BE49-F238E27FC236}">
                <a16:creationId xmlns:a16="http://schemas.microsoft.com/office/drawing/2014/main" id="{6436A7ED-E0B4-AF20-D29C-A07C01518FB8}"/>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9" name="Oval 178">
            <a:extLst>
              <a:ext uri="{FF2B5EF4-FFF2-40B4-BE49-F238E27FC236}">
                <a16:creationId xmlns:a16="http://schemas.microsoft.com/office/drawing/2014/main" id="{CAAD92F7-7CA7-1F3E-7BAB-1F17ABC3237B}"/>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24"/>
            <a:extLst>
              <a:ext uri="{FF2B5EF4-FFF2-40B4-BE49-F238E27FC236}">
                <a16:creationId xmlns:a16="http://schemas.microsoft.com/office/drawing/2014/main" id="{B98F4D4D-A2E2-5932-06F3-88D5C44A34A0}"/>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21</xdr:row>
      <xdr:rowOff>170882</xdr:rowOff>
    </xdr:from>
    <xdr:to>
      <xdr:col>0</xdr:col>
      <xdr:colOff>1711471</xdr:colOff>
      <xdr:row>22</xdr:row>
      <xdr:rowOff>291059</xdr:rowOff>
    </xdr:to>
    <xdr:grpSp>
      <xdr:nvGrpSpPr>
        <xdr:cNvPr id="151" name="Group 150">
          <a:extLst>
            <a:ext uri="{FF2B5EF4-FFF2-40B4-BE49-F238E27FC236}">
              <a16:creationId xmlns:a16="http://schemas.microsoft.com/office/drawing/2014/main" id="{29A9BD77-71B7-E8F4-9155-754C905336F4}"/>
            </a:ext>
          </a:extLst>
        </xdr:cNvPr>
        <xdr:cNvGrpSpPr/>
      </xdr:nvGrpSpPr>
      <xdr:grpSpPr>
        <a:xfrm>
          <a:off x="4302" y="11397682"/>
          <a:ext cx="1707169" cy="488477"/>
          <a:chOff x="4477" y="11347997"/>
          <a:chExt cx="1725184" cy="480012"/>
        </a:xfrm>
      </xdr:grpSpPr>
      <xdr:sp macro="" textlink="">
        <xdr:nvSpPr>
          <xdr:cNvPr id="173" name="Rectangle: Rounded Corners 172">
            <a:extLst>
              <a:ext uri="{FF2B5EF4-FFF2-40B4-BE49-F238E27FC236}">
                <a16:creationId xmlns:a16="http://schemas.microsoft.com/office/drawing/2014/main" id="{05AA6E9D-B922-83A2-379D-4126476C61A9}"/>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25"/>
            <a:extLst>
              <a:ext uri="{FF2B5EF4-FFF2-40B4-BE49-F238E27FC236}">
                <a16:creationId xmlns:a16="http://schemas.microsoft.com/office/drawing/2014/main" id="{F8184D96-0E73-9200-19F7-240EC14C1D76}"/>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5" name="Oval 174">
            <a:extLst>
              <a:ext uri="{FF2B5EF4-FFF2-40B4-BE49-F238E27FC236}">
                <a16:creationId xmlns:a16="http://schemas.microsoft.com/office/drawing/2014/main" id="{17B55948-5923-C928-BFFB-586B5054D04D}"/>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25"/>
            <a:extLst>
              <a:ext uri="{FF2B5EF4-FFF2-40B4-BE49-F238E27FC236}">
                <a16:creationId xmlns:a16="http://schemas.microsoft.com/office/drawing/2014/main" id="{CE6FE45B-39F6-22B4-04B8-A816EA6F23C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13</xdr:row>
      <xdr:rowOff>125747</xdr:rowOff>
    </xdr:from>
    <xdr:to>
      <xdr:col>0</xdr:col>
      <xdr:colOff>1707169</xdr:colOff>
      <xdr:row>14</xdr:row>
      <xdr:rowOff>242866</xdr:rowOff>
    </xdr:to>
    <xdr:grpSp>
      <xdr:nvGrpSpPr>
        <xdr:cNvPr id="152" name="Group 151">
          <a:extLst>
            <a:ext uri="{FF2B5EF4-FFF2-40B4-BE49-F238E27FC236}">
              <a16:creationId xmlns:a16="http://schemas.microsoft.com/office/drawing/2014/main" id="{4FBEF232-95BC-D806-1565-34F5AB3396F6}"/>
            </a:ext>
          </a:extLst>
        </xdr:cNvPr>
        <xdr:cNvGrpSpPr/>
      </xdr:nvGrpSpPr>
      <xdr:grpSpPr>
        <a:xfrm>
          <a:off x="0" y="6932947"/>
          <a:ext cx="1707169" cy="485419"/>
          <a:chOff x="0" y="6922179"/>
          <a:chExt cx="1725184" cy="482848"/>
        </a:xfrm>
      </xdr:grpSpPr>
      <xdr:sp macro="" textlink="">
        <xdr:nvSpPr>
          <xdr:cNvPr id="169" name="Rectangle: Rounded Corners 168">
            <a:extLst>
              <a:ext uri="{FF2B5EF4-FFF2-40B4-BE49-F238E27FC236}">
                <a16:creationId xmlns:a16="http://schemas.microsoft.com/office/drawing/2014/main" id="{C980BB8C-36E2-2E90-933B-913BE98F6177}"/>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16"/>
            <a:extLst>
              <a:ext uri="{FF2B5EF4-FFF2-40B4-BE49-F238E27FC236}">
                <a16:creationId xmlns:a16="http://schemas.microsoft.com/office/drawing/2014/main" id="{54137AEA-50FD-082A-E00B-992E76128883}"/>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1" name="Oval 170">
            <a:extLst>
              <a:ext uri="{FF2B5EF4-FFF2-40B4-BE49-F238E27FC236}">
                <a16:creationId xmlns:a16="http://schemas.microsoft.com/office/drawing/2014/main" id="{CB0B0471-632B-9485-31C5-DB5E9C3812A6}"/>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26"/>
            <a:extLst>
              <a:ext uri="{FF2B5EF4-FFF2-40B4-BE49-F238E27FC236}">
                <a16:creationId xmlns:a16="http://schemas.microsoft.com/office/drawing/2014/main" id="{20D80C8D-2165-5C1C-2504-A9417BACE266}"/>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22</xdr:row>
      <xdr:rowOff>303604</xdr:rowOff>
    </xdr:from>
    <xdr:to>
      <xdr:col>0</xdr:col>
      <xdr:colOff>1711953</xdr:colOff>
      <xdr:row>23</xdr:row>
      <xdr:rowOff>239631</xdr:rowOff>
    </xdr:to>
    <xdr:grpSp>
      <xdr:nvGrpSpPr>
        <xdr:cNvPr id="155" name="Group 154">
          <a:extLst>
            <a:ext uri="{FF2B5EF4-FFF2-40B4-BE49-F238E27FC236}">
              <a16:creationId xmlns:a16="http://schemas.microsoft.com/office/drawing/2014/main" id="{0631D943-B476-98C3-5516-B30027A00376}"/>
            </a:ext>
          </a:extLst>
        </xdr:cNvPr>
        <xdr:cNvGrpSpPr/>
      </xdr:nvGrpSpPr>
      <xdr:grpSpPr>
        <a:xfrm>
          <a:off x="5742" y="11898704"/>
          <a:ext cx="1706211" cy="488477"/>
          <a:chOff x="4477" y="11347997"/>
          <a:chExt cx="1725184" cy="480012"/>
        </a:xfrm>
      </xdr:grpSpPr>
      <xdr:sp macro="" textlink="">
        <xdr:nvSpPr>
          <xdr:cNvPr id="161" name="Rectangle: Rounded Corners 160">
            <a:extLst>
              <a:ext uri="{FF2B5EF4-FFF2-40B4-BE49-F238E27FC236}">
                <a16:creationId xmlns:a16="http://schemas.microsoft.com/office/drawing/2014/main" id="{0AF9C9BF-3D9F-2B8C-5DAE-627AA8E3A679}"/>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2" name="TextBox 161">
            <a:hlinkClick xmlns:r="http://schemas.openxmlformats.org/officeDocument/2006/relationships" r:id="rId27"/>
            <a:extLst>
              <a:ext uri="{FF2B5EF4-FFF2-40B4-BE49-F238E27FC236}">
                <a16:creationId xmlns:a16="http://schemas.microsoft.com/office/drawing/2014/main" id="{72C5067B-D7B6-5642-28F5-86B9E86E6679}"/>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63" name="Oval 162">
            <a:extLst>
              <a:ext uri="{FF2B5EF4-FFF2-40B4-BE49-F238E27FC236}">
                <a16:creationId xmlns:a16="http://schemas.microsoft.com/office/drawing/2014/main" id="{8D885920-89A4-4BEF-F5A8-8FB1AD6424A0}"/>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64" name="TextBox 163">
            <a:hlinkClick xmlns:r="http://schemas.openxmlformats.org/officeDocument/2006/relationships" r:id="rId27"/>
            <a:extLst>
              <a:ext uri="{FF2B5EF4-FFF2-40B4-BE49-F238E27FC236}">
                <a16:creationId xmlns:a16="http://schemas.microsoft.com/office/drawing/2014/main" id="{8BD5D5FD-99D8-3B57-6A59-1F32BA2A7C67}"/>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3" name="Group 2">
          <a:extLst>
            <a:ext uri="{FF2B5EF4-FFF2-40B4-BE49-F238E27FC236}">
              <a16:creationId xmlns:a16="http://schemas.microsoft.com/office/drawing/2014/main" id="{8CE176FB-1742-4E50-9CB2-CA35A6C3993A}"/>
            </a:ext>
          </a:extLst>
        </xdr:cNvPr>
        <xdr:cNvGrpSpPr/>
      </xdr:nvGrpSpPr>
      <xdr:grpSpPr>
        <a:xfrm>
          <a:off x="10635011" y="0"/>
          <a:ext cx="0" cy="286106"/>
          <a:chOff x="7108587" y="129950"/>
          <a:chExt cx="884099" cy="287016"/>
        </a:xfrm>
      </xdr:grpSpPr>
      <xdr:pic>
        <xdr:nvPicPr>
          <xdr:cNvPr id="4" name="Graphic 3" descr="Rewind with solid fill">
            <a:hlinkClick xmlns:r="http://schemas.openxmlformats.org/officeDocument/2006/relationships" r:id="rId28"/>
            <a:extLst>
              <a:ext uri="{FF2B5EF4-FFF2-40B4-BE49-F238E27FC236}">
                <a16:creationId xmlns:a16="http://schemas.microsoft.com/office/drawing/2014/main" id="{B3BF783B-182D-AF38-B977-491377F137C3}"/>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5" name="TextBox 4">
            <a:hlinkClick xmlns:r="http://schemas.openxmlformats.org/officeDocument/2006/relationships" r:id="rId28"/>
            <a:extLst>
              <a:ext uri="{FF2B5EF4-FFF2-40B4-BE49-F238E27FC236}">
                <a16:creationId xmlns:a16="http://schemas.microsoft.com/office/drawing/2014/main" id="{E70B75F3-F59F-47E6-86F9-C31289772818}"/>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9" name="Group 8">
          <a:extLst>
            <a:ext uri="{FF2B5EF4-FFF2-40B4-BE49-F238E27FC236}">
              <a16:creationId xmlns:a16="http://schemas.microsoft.com/office/drawing/2014/main" id="{1C3264C4-1374-4A9D-A898-7BBA370AE8EA}"/>
            </a:ext>
          </a:extLst>
        </xdr:cNvPr>
        <xdr:cNvGrpSpPr/>
      </xdr:nvGrpSpPr>
      <xdr:grpSpPr>
        <a:xfrm>
          <a:off x="9144000" y="0"/>
          <a:ext cx="774288" cy="286106"/>
          <a:chOff x="7108587" y="129950"/>
          <a:chExt cx="884099" cy="287016"/>
        </a:xfrm>
      </xdr:grpSpPr>
      <xdr:pic>
        <xdr:nvPicPr>
          <xdr:cNvPr id="10" name="Graphic 9" descr="Rewind with solid fill">
            <a:hlinkClick xmlns:r="http://schemas.openxmlformats.org/officeDocument/2006/relationships" r:id="rId28"/>
            <a:extLst>
              <a:ext uri="{FF2B5EF4-FFF2-40B4-BE49-F238E27FC236}">
                <a16:creationId xmlns:a16="http://schemas.microsoft.com/office/drawing/2014/main" id="{F0054043-B295-2052-2D3D-FE8BD2DFD64F}"/>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1" name="TextBox 10">
            <a:hlinkClick xmlns:r="http://schemas.openxmlformats.org/officeDocument/2006/relationships" r:id="rId28"/>
            <a:extLst>
              <a:ext uri="{FF2B5EF4-FFF2-40B4-BE49-F238E27FC236}">
                <a16:creationId xmlns:a16="http://schemas.microsoft.com/office/drawing/2014/main" id="{92667C54-FF8B-74CE-77A7-20566D3F82AE}"/>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23</xdr:row>
      <xdr:rowOff>266700</xdr:rowOff>
    </xdr:from>
    <xdr:to>
      <xdr:col>0</xdr:col>
      <xdr:colOff>1713549</xdr:colOff>
      <xdr:row>27</xdr:row>
      <xdr:rowOff>658234</xdr:rowOff>
    </xdr:to>
    <xdr:grpSp>
      <xdr:nvGrpSpPr>
        <xdr:cNvPr id="6" name="Group 5">
          <a:extLst>
            <a:ext uri="{FF2B5EF4-FFF2-40B4-BE49-F238E27FC236}">
              <a16:creationId xmlns:a16="http://schemas.microsoft.com/office/drawing/2014/main" id="{4CEF538E-8602-4ADE-B012-C67486AA3C96}"/>
            </a:ext>
          </a:extLst>
        </xdr:cNvPr>
        <xdr:cNvGrpSpPr/>
      </xdr:nvGrpSpPr>
      <xdr:grpSpPr>
        <a:xfrm>
          <a:off x="0" y="12414250"/>
          <a:ext cx="1713549" cy="2233034"/>
          <a:chOff x="5137727" y="13144500"/>
          <a:chExt cx="1713549" cy="2252946"/>
        </a:xfrm>
      </xdr:grpSpPr>
      <xdr:grpSp>
        <xdr:nvGrpSpPr>
          <xdr:cNvPr id="7" name="Group 6">
            <a:extLst>
              <a:ext uri="{FF2B5EF4-FFF2-40B4-BE49-F238E27FC236}">
                <a16:creationId xmlns:a16="http://schemas.microsoft.com/office/drawing/2014/main" id="{E29D9F47-E924-4835-3607-275895F6099B}"/>
              </a:ext>
            </a:extLst>
          </xdr:cNvPr>
          <xdr:cNvGrpSpPr/>
        </xdr:nvGrpSpPr>
        <xdr:grpSpPr>
          <a:xfrm>
            <a:off x="5144107" y="13624532"/>
            <a:ext cx="1707169" cy="465099"/>
            <a:chOff x="3415" y="11846315"/>
            <a:chExt cx="1725184" cy="456487"/>
          </a:xfrm>
        </xdr:grpSpPr>
        <xdr:sp macro="" textlink="">
          <xdr:nvSpPr>
            <xdr:cNvPr id="27" name="Rectangle: Rounded Corners 26">
              <a:extLst>
                <a:ext uri="{FF2B5EF4-FFF2-40B4-BE49-F238E27FC236}">
                  <a16:creationId xmlns:a16="http://schemas.microsoft.com/office/drawing/2014/main" id="{4DC09732-38A3-3F50-B939-1E46CC3C5263}"/>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8" name="TextBox 27">
              <a:hlinkClick xmlns:r="http://schemas.openxmlformats.org/officeDocument/2006/relationships" r:id="rId23"/>
              <a:extLst>
                <a:ext uri="{FF2B5EF4-FFF2-40B4-BE49-F238E27FC236}">
                  <a16:creationId xmlns:a16="http://schemas.microsoft.com/office/drawing/2014/main" id="{4DDFD53B-B08B-CC56-2D03-D31150E28CAF}"/>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9" name="Oval 28">
              <a:extLst>
                <a:ext uri="{FF2B5EF4-FFF2-40B4-BE49-F238E27FC236}">
                  <a16:creationId xmlns:a16="http://schemas.microsoft.com/office/drawing/2014/main" id="{30CE0961-F40F-96BE-9ADB-FA3D6DC9D910}"/>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0" name="TextBox 29">
              <a:hlinkClick xmlns:r="http://schemas.openxmlformats.org/officeDocument/2006/relationships" r:id="rId31"/>
              <a:extLst>
                <a:ext uri="{FF2B5EF4-FFF2-40B4-BE49-F238E27FC236}">
                  <a16:creationId xmlns:a16="http://schemas.microsoft.com/office/drawing/2014/main" id="{6AC82818-C718-C92F-8ABF-3212E69B4107}"/>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8" name="Group 7">
            <a:extLst>
              <a:ext uri="{FF2B5EF4-FFF2-40B4-BE49-F238E27FC236}">
                <a16:creationId xmlns:a16="http://schemas.microsoft.com/office/drawing/2014/main" id="{1BB035F5-BCDC-11F0-5843-B75E826DCB0F}"/>
              </a:ext>
            </a:extLst>
          </xdr:cNvPr>
          <xdr:cNvGrpSpPr/>
        </xdr:nvGrpSpPr>
        <xdr:grpSpPr>
          <a:xfrm>
            <a:off x="5141639" y="14111307"/>
            <a:ext cx="1707169" cy="494728"/>
            <a:chOff x="847" y="12324893"/>
            <a:chExt cx="1725184" cy="486884"/>
          </a:xfrm>
        </xdr:grpSpPr>
        <xdr:sp macro="" textlink="">
          <xdr:nvSpPr>
            <xdr:cNvPr id="23" name="Rectangle: Rounded Corners 22">
              <a:extLst>
                <a:ext uri="{FF2B5EF4-FFF2-40B4-BE49-F238E27FC236}">
                  <a16:creationId xmlns:a16="http://schemas.microsoft.com/office/drawing/2014/main" id="{06B9AEDF-AFF0-A1EF-63DA-309064C64D71}"/>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 name="TextBox 23">
              <a:hlinkClick xmlns:r="http://schemas.openxmlformats.org/officeDocument/2006/relationships" r:id="rId32"/>
              <a:extLst>
                <a:ext uri="{FF2B5EF4-FFF2-40B4-BE49-F238E27FC236}">
                  <a16:creationId xmlns:a16="http://schemas.microsoft.com/office/drawing/2014/main" id="{C564E526-1BBB-A54A-8F98-9F46F5FAACCE}"/>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5" name="Oval 24">
              <a:extLst>
                <a:ext uri="{FF2B5EF4-FFF2-40B4-BE49-F238E27FC236}">
                  <a16:creationId xmlns:a16="http://schemas.microsoft.com/office/drawing/2014/main" id="{104CAEEB-1603-7498-1A56-5D96E618C885}"/>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6" name="TextBox 25">
              <a:hlinkClick xmlns:r="http://schemas.openxmlformats.org/officeDocument/2006/relationships" r:id="rId32"/>
              <a:extLst>
                <a:ext uri="{FF2B5EF4-FFF2-40B4-BE49-F238E27FC236}">
                  <a16:creationId xmlns:a16="http://schemas.microsoft.com/office/drawing/2014/main" id="{FFDA906E-59CB-9D96-E80B-60A82584EE60}"/>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2" name="TextBox 11">
            <a:extLst>
              <a:ext uri="{FF2B5EF4-FFF2-40B4-BE49-F238E27FC236}">
                <a16:creationId xmlns:a16="http://schemas.microsoft.com/office/drawing/2014/main" id="{9FB1A990-AF7B-FFB3-08B8-79BF6CAD3107}"/>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3" name="Group 12">
            <a:extLst>
              <a:ext uri="{FF2B5EF4-FFF2-40B4-BE49-F238E27FC236}">
                <a16:creationId xmlns:a16="http://schemas.microsoft.com/office/drawing/2014/main" id="{EDAACED4-87EB-9076-BBBD-CC3C79728B8B}"/>
              </a:ext>
            </a:extLst>
          </xdr:cNvPr>
          <xdr:cNvGrpSpPr/>
        </xdr:nvGrpSpPr>
        <xdr:grpSpPr>
          <a:xfrm>
            <a:off x="5138008" y="14617043"/>
            <a:ext cx="1708983" cy="494290"/>
            <a:chOff x="847" y="12324893"/>
            <a:chExt cx="1725184" cy="486884"/>
          </a:xfrm>
        </xdr:grpSpPr>
        <xdr:sp macro="" textlink="">
          <xdr:nvSpPr>
            <xdr:cNvPr id="19" name="Rectangle: Rounded Corners 18">
              <a:extLst>
                <a:ext uri="{FF2B5EF4-FFF2-40B4-BE49-F238E27FC236}">
                  <a16:creationId xmlns:a16="http://schemas.microsoft.com/office/drawing/2014/main" id="{7B68B8C3-90BF-3400-D641-A5B8D94464F0}"/>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 name="TextBox 19">
              <a:hlinkClick xmlns:r="http://schemas.openxmlformats.org/officeDocument/2006/relationships" r:id="rId33"/>
              <a:extLst>
                <a:ext uri="{FF2B5EF4-FFF2-40B4-BE49-F238E27FC236}">
                  <a16:creationId xmlns:a16="http://schemas.microsoft.com/office/drawing/2014/main" id="{F3730B59-C546-F55F-CE9D-767F6E9D0D34}"/>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1" name="Oval 20">
              <a:extLst>
                <a:ext uri="{FF2B5EF4-FFF2-40B4-BE49-F238E27FC236}">
                  <a16:creationId xmlns:a16="http://schemas.microsoft.com/office/drawing/2014/main" id="{CAB7D149-4AA0-5809-B830-577BB151926E}"/>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 name="TextBox 21">
              <a:hlinkClick xmlns:r="http://schemas.openxmlformats.org/officeDocument/2006/relationships" r:id="rId33"/>
              <a:extLst>
                <a:ext uri="{FF2B5EF4-FFF2-40B4-BE49-F238E27FC236}">
                  <a16:creationId xmlns:a16="http://schemas.microsoft.com/office/drawing/2014/main" id="{0B12535F-3AA7-1F3B-83BC-BF454594F7DF}"/>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4" name="Group 13">
            <a:extLst>
              <a:ext uri="{FF2B5EF4-FFF2-40B4-BE49-F238E27FC236}">
                <a16:creationId xmlns:a16="http://schemas.microsoft.com/office/drawing/2014/main" id="{6964DC16-9E10-1184-16D7-531E5FF21D02}"/>
              </a:ext>
            </a:extLst>
          </xdr:cNvPr>
          <xdr:cNvGrpSpPr/>
        </xdr:nvGrpSpPr>
        <xdr:grpSpPr>
          <a:xfrm>
            <a:off x="5137727" y="13144500"/>
            <a:ext cx="1707169" cy="464661"/>
            <a:chOff x="3415" y="11846315"/>
            <a:chExt cx="1725184" cy="456487"/>
          </a:xfrm>
        </xdr:grpSpPr>
        <xdr:sp macro="" textlink="">
          <xdr:nvSpPr>
            <xdr:cNvPr id="15" name="Rectangle: Rounded Corners 14">
              <a:hlinkClick xmlns:r="http://schemas.openxmlformats.org/officeDocument/2006/relationships" r:id="rId34"/>
              <a:extLst>
                <a:ext uri="{FF2B5EF4-FFF2-40B4-BE49-F238E27FC236}">
                  <a16:creationId xmlns:a16="http://schemas.microsoft.com/office/drawing/2014/main" id="{55478592-A3C9-6AAB-FA0D-27B23E67DD98}"/>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 name="TextBox 15">
              <a:hlinkClick xmlns:r="http://schemas.openxmlformats.org/officeDocument/2006/relationships" r:id="rId34"/>
              <a:extLst>
                <a:ext uri="{FF2B5EF4-FFF2-40B4-BE49-F238E27FC236}">
                  <a16:creationId xmlns:a16="http://schemas.microsoft.com/office/drawing/2014/main" id="{BE75782A-5622-58F9-ADFE-D2C91152CAB2}"/>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 name="Oval 16">
              <a:hlinkClick xmlns:r="http://schemas.openxmlformats.org/officeDocument/2006/relationships" r:id="rId34"/>
              <a:extLst>
                <a:ext uri="{FF2B5EF4-FFF2-40B4-BE49-F238E27FC236}">
                  <a16:creationId xmlns:a16="http://schemas.microsoft.com/office/drawing/2014/main" id="{A28647C7-92D6-FE3F-9AC8-0C4242C02364}"/>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 name="TextBox 17">
              <a:hlinkClick xmlns:r="http://schemas.openxmlformats.org/officeDocument/2006/relationships" r:id="rId34"/>
              <a:extLst>
                <a:ext uri="{FF2B5EF4-FFF2-40B4-BE49-F238E27FC236}">
                  <a16:creationId xmlns:a16="http://schemas.microsoft.com/office/drawing/2014/main" id="{1BF063C4-476E-DF74-9842-B19B67CC975A}"/>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27</xdr:row>
      <xdr:rowOff>273050</xdr:rowOff>
    </xdr:to>
    <xdr:sp macro="" textlink="">
      <xdr:nvSpPr>
        <xdr:cNvPr id="127" name="Rectangle: Rounded Corners 126">
          <a:extLst>
            <a:ext uri="{FF2B5EF4-FFF2-40B4-BE49-F238E27FC236}">
              <a16:creationId xmlns:a16="http://schemas.microsoft.com/office/drawing/2014/main" id="{131B5E74-387E-083E-8C0C-7A429737C1CC}"/>
            </a:ext>
          </a:extLst>
        </xdr:cNvPr>
        <xdr:cNvSpPr/>
      </xdr:nvSpPr>
      <xdr:spPr>
        <a:xfrm>
          <a:off x="0" y="0"/>
          <a:ext cx="1841776" cy="148526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128" name="Group 127">
          <a:extLst>
            <a:ext uri="{FF2B5EF4-FFF2-40B4-BE49-F238E27FC236}">
              <a16:creationId xmlns:a16="http://schemas.microsoft.com/office/drawing/2014/main" id="{AD7EAC34-1768-8380-E7BB-CC546E2916AB}"/>
            </a:ext>
          </a:extLst>
        </xdr:cNvPr>
        <xdr:cNvGrpSpPr/>
      </xdr:nvGrpSpPr>
      <xdr:grpSpPr>
        <a:xfrm>
          <a:off x="11239" y="652572"/>
          <a:ext cx="1704895" cy="451333"/>
          <a:chOff x="17891" y="510932"/>
          <a:chExt cx="1724265" cy="444500"/>
        </a:xfrm>
      </xdr:grpSpPr>
      <xdr:sp macro="" textlink="">
        <xdr:nvSpPr>
          <xdr:cNvPr id="257" name="Rectangle: Rounded Corners 256">
            <a:extLst>
              <a:ext uri="{FF2B5EF4-FFF2-40B4-BE49-F238E27FC236}">
                <a16:creationId xmlns:a16="http://schemas.microsoft.com/office/drawing/2014/main" id="{4007411A-68BB-75BE-58B9-38804C2523EE}"/>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8" name="TextBox 257">
            <a:hlinkClick xmlns:r="http://schemas.openxmlformats.org/officeDocument/2006/relationships" r:id="rId1"/>
            <a:extLst>
              <a:ext uri="{FF2B5EF4-FFF2-40B4-BE49-F238E27FC236}">
                <a16:creationId xmlns:a16="http://schemas.microsoft.com/office/drawing/2014/main" id="{FC98FBA3-D48B-1785-4BEF-AD7F436C0ADC}"/>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259" name="Oval 258">
            <a:extLst>
              <a:ext uri="{FF2B5EF4-FFF2-40B4-BE49-F238E27FC236}">
                <a16:creationId xmlns:a16="http://schemas.microsoft.com/office/drawing/2014/main" id="{3671A8B7-C6B4-C726-FE8B-6CB99A4778EE}"/>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129" name="Graphic 128" descr="Home with solid fill">
          <a:hlinkClick xmlns:r="http://schemas.openxmlformats.org/officeDocument/2006/relationships" r:id="rId2"/>
          <a:extLst>
            <a:ext uri="{FF2B5EF4-FFF2-40B4-BE49-F238E27FC236}">
              <a16:creationId xmlns:a16="http://schemas.microsoft.com/office/drawing/2014/main" id="{5D1D0631-057F-04F0-DAAF-0FCA833BF0C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3</xdr:row>
      <xdr:rowOff>812074</xdr:rowOff>
    </xdr:to>
    <xdr:grpSp>
      <xdr:nvGrpSpPr>
        <xdr:cNvPr id="130" name="Group 129">
          <a:extLst>
            <a:ext uri="{FF2B5EF4-FFF2-40B4-BE49-F238E27FC236}">
              <a16:creationId xmlns:a16="http://schemas.microsoft.com/office/drawing/2014/main" id="{E645F127-0E10-6191-1BBA-060B6418464A}"/>
            </a:ext>
          </a:extLst>
        </xdr:cNvPr>
        <xdr:cNvGrpSpPr/>
      </xdr:nvGrpSpPr>
      <xdr:grpSpPr>
        <a:xfrm>
          <a:off x="10917" y="1127622"/>
          <a:ext cx="1704895" cy="446452"/>
          <a:chOff x="23753" y="989136"/>
          <a:chExt cx="1724265" cy="444500"/>
        </a:xfrm>
      </xdr:grpSpPr>
      <xdr:sp macro="" textlink="">
        <xdr:nvSpPr>
          <xdr:cNvPr id="254" name="Rectangle: Rounded Corners 253">
            <a:extLst>
              <a:ext uri="{FF2B5EF4-FFF2-40B4-BE49-F238E27FC236}">
                <a16:creationId xmlns:a16="http://schemas.microsoft.com/office/drawing/2014/main" id="{27BE57D7-4642-034A-F8F0-0F542873AEA6}"/>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5" name="TextBox 254">
            <a:hlinkClick xmlns:r="http://schemas.openxmlformats.org/officeDocument/2006/relationships" r:id="rId5"/>
            <a:extLst>
              <a:ext uri="{FF2B5EF4-FFF2-40B4-BE49-F238E27FC236}">
                <a16:creationId xmlns:a16="http://schemas.microsoft.com/office/drawing/2014/main" id="{A897D249-822D-C525-39B0-7A36C9231E29}"/>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256" name="Oval 255">
            <a:extLst>
              <a:ext uri="{FF2B5EF4-FFF2-40B4-BE49-F238E27FC236}">
                <a16:creationId xmlns:a16="http://schemas.microsoft.com/office/drawing/2014/main" id="{E4F142CB-8339-6FB0-BA0D-08DC37D1BE2C}"/>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414839</xdr:rowOff>
    </xdr:from>
    <xdr:to>
      <xdr:col>0</xdr:col>
      <xdr:colOff>1717958</xdr:colOff>
      <xdr:row>5</xdr:row>
      <xdr:rowOff>126051</xdr:rowOff>
    </xdr:to>
    <xdr:grpSp>
      <xdr:nvGrpSpPr>
        <xdr:cNvPr id="131" name="Group 130">
          <a:extLst>
            <a:ext uri="{FF2B5EF4-FFF2-40B4-BE49-F238E27FC236}">
              <a16:creationId xmlns:a16="http://schemas.microsoft.com/office/drawing/2014/main" id="{C747405D-8FE1-D4B5-8E17-758E6E595AEF}"/>
            </a:ext>
          </a:extLst>
        </xdr:cNvPr>
        <xdr:cNvGrpSpPr/>
      </xdr:nvGrpSpPr>
      <xdr:grpSpPr>
        <a:xfrm>
          <a:off x="13063" y="2103939"/>
          <a:ext cx="1704895" cy="447812"/>
          <a:chOff x="13593" y="1983238"/>
          <a:chExt cx="1722818" cy="443309"/>
        </a:xfrm>
      </xdr:grpSpPr>
      <xdr:sp macro="" textlink="">
        <xdr:nvSpPr>
          <xdr:cNvPr id="251" name="Rectangle: Rounded Corners 250">
            <a:extLst>
              <a:ext uri="{FF2B5EF4-FFF2-40B4-BE49-F238E27FC236}">
                <a16:creationId xmlns:a16="http://schemas.microsoft.com/office/drawing/2014/main" id="{B0824604-3E7C-6D39-0954-86C60637FC79}"/>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2" name="TextBox 251">
            <a:hlinkClick xmlns:r="http://schemas.openxmlformats.org/officeDocument/2006/relationships" r:id="rId6"/>
            <a:extLst>
              <a:ext uri="{FF2B5EF4-FFF2-40B4-BE49-F238E27FC236}">
                <a16:creationId xmlns:a16="http://schemas.microsoft.com/office/drawing/2014/main" id="{197F8BF7-558A-4381-4EA1-6437AEE2EDC3}"/>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253" name="Oval 252">
            <a:extLst>
              <a:ext uri="{FF2B5EF4-FFF2-40B4-BE49-F238E27FC236}">
                <a16:creationId xmlns:a16="http://schemas.microsoft.com/office/drawing/2014/main" id="{9AAAAB33-3B30-1ED0-C23B-B02A2F0C5A84}"/>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147702</xdr:rowOff>
    </xdr:from>
    <xdr:to>
      <xdr:col>0</xdr:col>
      <xdr:colOff>1715516</xdr:colOff>
      <xdr:row>5</xdr:row>
      <xdr:rowOff>593677</xdr:rowOff>
    </xdr:to>
    <xdr:grpSp>
      <xdr:nvGrpSpPr>
        <xdr:cNvPr id="132" name="Group 131">
          <a:extLst>
            <a:ext uri="{FF2B5EF4-FFF2-40B4-BE49-F238E27FC236}">
              <a16:creationId xmlns:a16="http://schemas.microsoft.com/office/drawing/2014/main" id="{C0B30BC6-5F3A-2C9F-731A-8395E5155123}"/>
            </a:ext>
          </a:extLst>
        </xdr:cNvPr>
        <xdr:cNvGrpSpPr/>
      </xdr:nvGrpSpPr>
      <xdr:grpSpPr>
        <a:xfrm>
          <a:off x="12799" y="2573402"/>
          <a:ext cx="1702717" cy="445975"/>
          <a:chOff x="13317" y="2459028"/>
          <a:chExt cx="1720554" cy="441552"/>
        </a:xfrm>
      </xdr:grpSpPr>
      <xdr:sp macro="" textlink="">
        <xdr:nvSpPr>
          <xdr:cNvPr id="248" name="Rectangle: Rounded Corners 247">
            <a:extLst>
              <a:ext uri="{FF2B5EF4-FFF2-40B4-BE49-F238E27FC236}">
                <a16:creationId xmlns:a16="http://schemas.microsoft.com/office/drawing/2014/main" id="{E506D71C-0B5B-5B2B-2072-2A76DBB2E053}"/>
              </a:ext>
            </a:extLst>
          </xdr:cNvPr>
          <xdr:cNvSpPr/>
        </xdr:nvSpPr>
        <xdr:spPr>
          <a:xfrm>
            <a:off x="13317" y="2459028"/>
            <a:ext cx="1706703" cy="441552"/>
          </a:xfrm>
          <a:prstGeom prst="roundRect">
            <a:avLst>
              <a:gd name="adj" fmla="val 6708"/>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9" name="TextBox 248">
            <a:hlinkClick xmlns:r="http://schemas.openxmlformats.org/officeDocument/2006/relationships" r:id="rId7"/>
            <a:extLst>
              <a:ext uri="{FF2B5EF4-FFF2-40B4-BE49-F238E27FC236}">
                <a16:creationId xmlns:a16="http://schemas.microsoft.com/office/drawing/2014/main" id="{1B60E998-5445-2346-A5BB-EBE3B0B1CC70}"/>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WSIA              </a:t>
            </a:r>
            <a:endParaRPr lang="en-US" sz="1600">
              <a:solidFill>
                <a:schemeClr val="bg1"/>
              </a:solidFill>
            </a:endParaRPr>
          </a:p>
        </xdr:txBody>
      </xdr:sp>
      <xdr:sp macro="" textlink="">
        <xdr:nvSpPr>
          <xdr:cNvPr id="250" name="Oval 249">
            <a:extLst>
              <a:ext uri="{FF2B5EF4-FFF2-40B4-BE49-F238E27FC236}">
                <a16:creationId xmlns:a16="http://schemas.microsoft.com/office/drawing/2014/main" id="{D9543A75-992E-0A17-64AD-46B838E438D6}"/>
              </a:ext>
            </a:extLst>
          </xdr:cNvPr>
          <xdr:cNvSpPr/>
        </xdr:nvSpPr>
        <xdr:spPr>
          <a:xfrm>
            <a:off x="107774" y="2542658"/>
            <a:ext cx="285750" cy="277878"/>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5</xdr:row>
      <xdr:rowOff>607956</xdr:rowOff>
    </xdr:from>
    <xdr:to>
      <xdr:col>0</xdr:col>
      <xdr:colOff>1713076</xdr:colOff>
      <xdr:row>6</xdr:row>
      <xdr:rowOff>330202</xdr:rowOff>
    </xdr:to>
    <xdr:grpSp>
      <xdr:nvGrpSpPr>
        <xdr:cNvPr id="133" name="Group 132">
          <a:extLst>
            <a:ext uri="{FF2B5EF4-FFF2-40B4-BE49-F238E27FC236}">
              <a16:creationId xmlns:a16="http://schemas.microsoft.com/office/drawing/2014/main" id="{8608BA97-6C8F-8273-9E0A-14005B11C304}"/>
            </a:ext>
          </a:extLst>
        </xdr:cNvPr>
        <xdr:cNvGrpSpPr/>
      </xdr:nvGrpSpPr>
      <xdr:grpSpPr>
        <a:xfrm>
          <a:off x="8181" y="3033656"/>
          <a:ext cx="1704895" cy="458846"/>
          <a:chOff x="8513" y="2976867"/>
          <a:chExt cx="1722818" cy="451725"/>
        </a:xfrm>
      </xdr:grpSpPr>
      <xdr:sp macro="" textlink="">
        <xdr:nvSpPr>
          <xdr:cNvPr id="244" name="Rectangle: Rounded Corners 243">
            <a:extLst>
              <a:ext uri="{FF2B5EF4-FFF2-40B4-BE49-F238E27FC236}">
                <a16:creationId xmlns:a16="http://schemas.microsoft.com/office/drawing/2014/main" id="{4A78CC0F-50C8-DEC2-8128-CDF9E1A801E1}"/>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5" name="TextBox 244">
            <a:hlinkClick xmlns:r="http://schemas.openxmlformats.org/officeDocument/2006/relationships" r:id="rId7"/>
            <a:extLst>
              <a:ext uri="{FF2B5EF4-FFF2-40B4-BE49-F238E27FC236}">
                <a16:creationId xmlns:a16="http://schemas.microsoft.com/office/drawing/2014/main" id="{9B69F1B1-7286-D1AC-FD7D-ABC437570907}"/>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46" name="Oval 245">
            <a:extLst>
              <a:ext uri="{FF2B5EF4-FFF2-40B4-BE49-F238E27FC236}">
                <a16:creationId xmlns:a16="http://schemas.microsoft.com/office/drawing/2014/main" id="{35B25396-09F9-62EA-2DE4-73456E2E5649}"/>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7" name="TextBox 246">
            <a:hlinkClick xmlns:r="http://schemas.openxmlformats.org/officeDocument/2006/relationships" r:id="rId8"/>
            <a:extLst>
              <a:ext uri="{FF2B5EF4-FFF2-40B4-BE49-F238E27FC236}">
                <a16:creationId xmlns:a16="http://schemas.microsoft.com/office/drawing/2014/main" id="{30741D78-A43E-AAD2-FDDD-D6D8E04B3489}"/>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3</xdr:row>
      <xdr:rowOff>834375</xdr:rowOff>
    </xdr:from>
    <xdr:to>
      <xdr:col>0</xdr:col>
      <xdr:colOff>1716667</xdr:colOff>
      <xdr:row>4</xdr:row>
      <xdr:rowOff>394214</xdr:rowOff>
    </xdr:to>
    <xdr:grpSp>
      <xdr:nvGrpSpPr>
        <xdr:cNvPr id="134" name="Group 133">
          <a:extLst>
            <a:ext uri="{FF2B5EF4-FFF2-40B4-BE49-F238E27FC236}">
              <a16:creationId xmlns:a16="http://schemas.microsoft.com/office/drawing/2014/main" id="{F667095C-AB9B-A87A-A019-7ED9532B62B5}"/>
            </a:ext>
          </a:extLst>
        </xdr:cNvPr>
        <xdr:cNvGrpSpPr/>
      </xdr:nvGrpSpPr>
      <xdr:grpSpPr>
        <a:xfrm>
          <a:off x="11772" y="1596375"/>
          <a:ext cx="1704895" cy="486939"/>
          <a:chOff x="21544" y="1467318"/>
          <a:chExt cx="1724265" cy="477164"/>
        </a:xfrm>
      </xdr:grpSpPr>
      <xdr:sp macro="" textlink="">
        <xdr:nvSpPr>
          <xdr:cNvPr id="241" name="Rectangle: Rounded Corners 240">
            <a:extLst>
              <a:ext uri="{FF2B5EF4-FFF2-40B4-BE49-F238E27FC236}">
                <a16:creationId xmlns:a16="http://schemas.microsoft.com/office/drawing/2014/main" id="{D3007122-B372-1791-22E6-F3A18023B935}"/>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2" name="TextBox 241">
            <a:hlinkClick xmlns:r="http://schemas.openxmlformats.org/officeDocument/2006/relationships" r:id="rId9"/>
            <a:extLst>
              <a:ext uri="{FF2B5EF4-FFF2-40B4-BE49-F238E27FC236}">
                <a16:creationId xmlns:a16="http://schemas.microsoft.com/office/drawing/2014/main" id="{D1EE2843-CA9D-785F-2F27-F60BC30B1162}"/>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243" name="Oval 242">
            <a:extLst>
              <a:ext uri="{FF2B5EF4-FFF2-40B4-BE49-F238E27FC236}">
                <a16:creationId xmlns:a16="http://schemas.microsoft.com/office/drawing/2014/main" id="{BD5EDCB7-DBC6-FDCA-30F8-6466758DA834}"/>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6</xdr:row>
      <xdr:rowOff>343386</xdr:rowOff>
    </xdr:from>
    <xdr:to>
      <xdr:col>0</xdr:col>
      <xdr:colOff>1713094</xdr:colOff>
      <xdr:row>7</xdr:row>
      <xdr:rowOff>274455</xdr:rowOff>
    </xdr:to>
    <xdr:grpSp>
      <xdr:nvGrpSpPr>
        <xdr:cNvPr id="135" name="Group 134">
          <a:extLst>
            <a:ext uri="{FF2B5EF4-FFF2-40B4-BE49-F238E27FC236}">
              <a16:creationId xmlns:a16="http://schemas.microsoft.com/office/drawing/2014/main" id="{D1C9FC4A-2CEE-A583-098F-1C47E289A943}"/>
            </a:ext>
          </a:extLst>
        </xdr:cNvPr>
        <xdr:cNvGrpSpPr/>
      </xdr:nvGrpSpPr>
      <xdr:grpSpPr>
        <a:xfrm>
          <a:off x="8199" y="3505686"/>
          <a:ext cx="1704895" cy="483519"/>
          <a:chOff x="8532" y="3456662"/>
          <a:chExt cx="1722818" cy="482122"/>
        </a:xfrm>
      </xdr:grpSpPr>
      <xdr:sp macro="" textlink="">
        <xdr:nvSpPr>
          <xdr:cNvPr id="237" name="Rectangle: Rounded Corners 236">
            <a:extLst>
              <a:ext uri="{FF2B5EF4-FFF2-40B4-BE49-F238E27FC236}">
                <a16:creationId xmlns:a16="http://schemas.microsoft.com/office/drawing/2014/main" id="{81CD676C-4027-70B7-0E9C-42291D159093}"/>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8" name="TextBox 237">
            <a:hlinkClick xmlns:r="http://schemas.openxmlformats.org/officeDocument/2006/relationships" r:id="rId10"/>
            <a:extLst>
              <a:ext uri="{FF2B5EF4-FFF2-40B4-BE49-F238E27FC236}">
                <a16:creationId xmlns:a16="http://schemas.microsoft.com/office/drawing/2014/main" id="{DC79CAC1-B7DA-8A56-E892-274D74C71565}"/>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39" name="Oval 238">
            <a:extLst>
              <a:ext uri="{FF2B5EF4-FFF2-40B4-BE49-F238E27FC236}">
                <a16:creationId xmlns:a16="http://schemas.microsoft.com/office/drawing/2014/main" id="{73FCC621-1DBA-2800-2645-8BA72B27C30E}"/>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0" name="TextBox 239">
            <a:hlinkClick xmlns:r="http://schemas.openxmlformats.org/officeDocument/2006/relationships" r:id="rId10"/>
            <a:extLst>
              <a:ext uri="{FF2B5EF4-FFF2-40B4-BE49-F238E27FC236}">
                <a16:creationId xmlns:a16="http://schemas.microsoft.com/office/drawing/2014/main" id="{E4162100-52A9-4B9A-FFD0-197CA3457E31}"/>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7</xdr:row>
      <xdr:rowOff>287253</xdr:rowOff>
    </xdr:from>
    <xdr:to>
      <xdr:col>0</xdr:col>
      <xdr:colOff>1713246</xdr:colOff>
      <xdr:row>8</xdr:row>
      <xdr:rowOff>12460</xdr:rowOff>
    </xdr:to>
    <xdr:grpSp>
      <xdr:nvGrpSpPr>
        <xdr:cNvPr id="136" name="Group 135">
          <a:extLst>
            <a:ext uri="{FF2B5EF4-FFF2-40B4-BE49-F238E27FC236}">
              <a16:creationId xmlns:a16="http://schemas.microsoft.com/office/drawing/2014/main" id="{68F6116F-050F-D124-4F6A-6FB8D60CF51C}"/>
            </a:ext>
          </a:extLst>
        </xdr:cNvPr>
        <xdr:cNvGrpSpPr/>
      </xdr:nvGrpSpPr>
      <xdr:grpSpPr>
        <a:xfrm>
          <a:off x="6077" y="4002003"/>
          <a:ext cx="1707169" cy="461807"/>
          <a:chOff x="6323" y="3964228"/>
          <a:chExt cx="1725184" cy="454551"/>
        </a:xfrm>
      </xdr:grpSpPr>
      <xdr:sp macro="" textlink="">
        <xdr:nvSpPr>
          <xdr:cNvPr id="233" name="Rectangle: Rounded Corners 232">
            <a:extLst>
              <a:ext uri="{FF2B5EF4-FFF2-40B4-BE49-F238E27FC236}">
                <a16:creationId xmlns:a16="http://schemas.microsoft.com/office/drawing/2014/main" id="{3AF84BFC-089E-20E9-1597-841E6C2021EA}"/>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4" name="TextBox 233">
            <a:hlinkClick xmlns:r="http://schemas.openxmlformats.org/officeDocument/2006/relationships" r:id="rId11"/>
            <a:extLst>
              <a:ext uri="{FF2B5EF4-FFF2-40B4-BE49-F238E27FC236}">
                <a16:creationId xmlns:a16="http://schemas.microsoft.com/office/drawing/2014/main" id="{F77A7D43-7D5E-22BF-92BC-00C1F2A10613}"/>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5" name="Oval 234">
            <a:extLst>
              <a:ext uri="{FF2B5EF4-FFF2-40B4-BE49-F238E27FC236}">
                <a16:creationId xmlns:a16="http://schemas.microsoft.com/office/drawing/2014/main" id="{90444162-9537-4516-9861-8D1F5AD274E2}"/>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6" name="TextBox 235">
            <a:hlinkClick xmlns:r="http://schemas.openxmlformats.org/officeDocument/2006/relationships" r:id="rId11"/>
            <a:extLst>
              <a:ext uri="{FF2B5EF4-FFF2-40B4-BE49-F238E27FC236}">
                <a16:creationId xmlns:a16="http://schemas.microsoft.com/office/drawing/2014/main" id="{7159740C-019B-B288-17D4-A225B332ADD3}"/>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29690</xdr:rowOff>
    </xdr:from>
    <xdr:to>
      <xdr:col>0</xdr:col>
      <xdr:colOff>1709917</xdr:colOff>
      <xdr:row>8</xdr:row>
      <xdr:rowOff>524308</xdr:rowOff>
    </xdr:to>
    <xdr:grpSp>
      <xdr:nvGrpSpPr>
        <xdr:cNvPr id="137" name="Group 136">
          <a:extLst>
            <a:ext uri="{FF2B5EF4-FFF2-40B4-BE49-F238E27FC236}">
              <a16:creationId xmlns:a16="http://schemas.microsoft.com/office/drawing/2014/main" id="{F9EB96EA-BE5B-4393-9628-9F4BC054F22E}"/>
            </a:ext>
          </a:extLst>
        </xdr:cNvPr>
        <xdr:cNvGrpSpPr/>
      </xdr:nvGrpSpPr>
      <xdr:grpSpPr>
        <a:xfrm>
          <a:off x="2748" y="4481040"/>
          <a:ext cx="1707169" cy="494618"/>
          <a:chOff x="2860" y="4442071"/>
          <a:chExt cx="1725184" cy="485874"/>
        </a:xfrm>
      </xdr:grpSpPr>
      <xdr:sp macro="" textlink="">
        <xdr:nvSpPr>
          <xdr:cNvPr id="229" name="Rectangle: Rounded Corners 228">
            <a:extLst>
              <a:ext uri="{FF2B5EF4-FFF2-40B4-BE49-F238E27FC236}">
                <a16:creationId xmlns:a16="http://schemas.microsoft.com/office/drawing/2014/main" id="{8C17CFDE-85FE-D93D-153A-040DB23931B5}"/>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0" name="TextBox 229">
            <a:hlinkClick xmlns:r="http://schemas.openxmlformats.org/officeDocument/2006/relationships" r:id="rId12"/>
            <a:extLst>
              <a:ext uri="{FF2B5EF4-FFF2-40B4-BE49-F238E27FC236}">
                <a16:creationId xmlns:a16="http://schemas.microsoft.com/office/drawing/2014/main" id="{32C7B624-1B03-3FA5-DF51-E922DE91C3D8}"/>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1" name="Oval 230">
            <a:extLst>
              <a:ext uri="{FF2B5EF4-FFF2-40B4-BE49-F238E27FC236}">
                <a16:creationId xmlns:a16="http://schemas.microsoft.com/office/drawing/2014/main" id="{D444B13F-E902-4F2C-F4D5-4E6661A60AA8}"/>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2" name="TextBox 231">
            <a:hlinkClick xmlns:r="http://schemas.openxmlformats.org/officeDocument/2006/relationships" r:id="rId12"/>
            <a:extLst>
              <a:ext uri="{FF2B5EF4-FFF2-40B4-BE49-F238E27FC236}">
                <a16:creationId xmlns:a16="http://schemas.microsoft.com/office/drawing/2014/main" id="{E2F51C4A-2A1D-39FE-7271-EBD103B4855A}"/>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8</xdr:row>
      <xdr:rowOff>546647</xdr:rowOff>
    </xdr:from>
    <xdr:to>
      <xdr:col>0</xdr:col>
      <xdr:colOff>1709302</xdr:colOff>
      <xdr:row>9</xdr:row>
      <xdr:rowOff>266381</xdr:rowOff>
    </xdr:to>
    <xdr:grpSp>
      <xdr:nvGrpSpPr>
        <xdr:cNvPr id="138" name="Group 137">
          <a:extLst>
            <a:ext uri="{FF2B5EF4-FFF2-40B4-BE49-F238E27FC236}">
              <a16:creationId xmlns:a16="http://schemas.microsoft.com/office/drawing/2014/main" id="{0BF83404-6D63-1A40-851A-827EF76623D8}"/>
            </a:ext>
          </a:extLst>
        </xdr:cNvPr>
        <xdr:cNvGrpSpPr/>
      </xdr:nvGrpSpPr>
      <xdr:grpSpPr>
        <a:xfrm>
          <a:off x="2133" y="4997997"/>
          <a:ext cx="1707169" cy="456334"/>
          <a:chOff x="2219" y="4949272"/>
          <a:chExt cx="1725184" cy="456170"/>
        </a:xfrm>
      </xdr:grpSpPr>
      <xdr:sp macro="" textlink="">
        <xdr:nvSpPr>
          <xdr:cNvPr id="225" name="Rectangle: Rounded Corners 224">
            <a:extLst>
              <a:ext uri="{FF2B5EF4-FFF2-40B4-BE49-F238E27FC236}">
                <a16:creationId xmlns:a16="http://schemas.microsoft.com/office/drawing/2014/main" id="{ADD445E9-58D8-C4AE-B1E2-D95C7C09F9C1}"/>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6" name="TextBox 225">
            <a:hlinkClick xmlns:r="http://schemas.openxmlformats.org/officeDocument/2006/relationships" r:id="rId13"/>
            <a:extLst>
              <a:ext uri="{FF2B5EF4-FFF2-40B4-BE49-F238E27FC236}">
                <a16:creationId xmlns:a16="http://schemas.microsoft.com/office/drawing/2014/main" id="{AFAC47BD-7205-341C-53BC-0542140D03ED}"/>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7" name="Oval 226">
            <a:extLst>
              <a:ext uri="{FF2B5EF4-FFF2-40B4-BE49-F238E27FC236}">
                <a16:creationId xmlns:a16="http://schemas.microsoft.com/office/drawing/2014/main" id="{65AB70F8-87BF-62D4-151F-C7111C522E4D}"/>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8" name="TextBox 227">
            <a:hlinkClick xmlns:r="http://schemas.openxmlformats.org/officeDocument/2006/relationships" r:id="rId13"/>
            <a:extLst>
              <a:ext uri="{FF2B5EF4-FFF2-40B4-BE49-F238E27FC236}">
                <a16:creationId xmlns:a16="http://schemas.microsoft.com/office/drawing/2014/main" id="{AA4EA674-A38B-38BC-368B-D3DBCE6D26F5}"/>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9</xdr:row>
      <xdr:rowOff>285298</xdr:rowOff>
    </xdr:from>
    <xdr:to>
      <xdr:col>0</xdr:col>
      <xdr:colOff>1709298</xdr:colOff>
      <xdr:row>10</xdr:row>
      <xdr:rowOff>222194</xdr:rowOff>
    </xdr:to>
    <xdr:grpSp>
      <xdr:nvGrpSpPr>
        <xdr:cNvPr id="139" name="Group 138">
          <a:extLst>
            <a:ext uri="{FF2B5EF4-FFF2-40B4-BE49-F238E27FC236}">
              <a16:creationId xmlns:a16="http://schemas.microsoft.com/office/drawing/2014/main" id="{3126DACF-5AC2-B294-EE91-AF071001E058}"/>
            </a:ext>
          </a:extLst>
        </xdr:cNvPr>
        <xdr:cNvGrpSpPr/>
      </xdr:nvGrpSpPr>
      <xdr:grpSpPr>
        <a:xfrm>
          <a:off x="2129" y="5473248"/>
          <a:ext cx="1707169" cy="489346"/>
          <a:chOff x="2215" y="5434042"/>
          <a:chExt cx="1725184" cy="486597"/>
        </a:xfrm>
      </xdr:grpSpPr>
      <xdr:sp macro="" textlink="">
        <xdr:nvSpPr>
          <xdr:cNvPr id="221" name="Rectangle: Rounded Corners 220">
            <a:extLst>
              <a:ext uri="{FF2B5EF4-FFF2-40B4-BE49-F238E27FC236}">
                <a16:creationId xmlns:a16="http://schemas.microsoft.com/office/drawing/2014/main" id="{1CC8C20A-565A-975A-2F92-DDF21BE8DC9A}"/>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2" name="TextBox 221">
            <a:hlinkClick xmlns:r="http://schemas.openxmlformats.org/officeDocument/2006/relationships" r:id="rId14"/>
            <a:extLst>
              <a:ext uri="{FF2B5EF4-FFF2-40B4-BE49-F238E27FC236}">
                <a16:creationId xmlns:a16="http://schemas.microsoft.com/office/drawing/2014/main" id="{3CBBC04D-A021-80B9-3A84-BB8E0CF1EB89}"/>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3" name="Oval 222">
            <a:extLst>
              <a:ext uri="{FF2B5EF4-FFF2-40B4-BE49-F238E27FC236}">
                <a16:creationId xmlns:a16="http://schemas.microsoft.com/office/drawing/2014/main" id="{10E8FDD7-EE33-F993-3932-E2C98417A5EF}"/>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4" name="TextBox 223">
            <a:hlinkClick xmlns:r="http://schemas.openxmlformats.org/officeDocument/2006/relationships" r:id="rId14"/>
            <a:extLst>
              <a:ext uri="{FF2B5EF4-FFF2-40B4-BE49-F238E27FC236}">
                <a16:creationId xmlns:a16="http://schemas.microsoft.com/office/drawing/2014/main" id="{24F55178-D438-28E1-8ABC-16EC55371264}"/>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10</xdr:row>
      <xdr:rowOff>240049</xdr:rowOff>
    </xdr:from>
    <xdr:to>
      <xdr:col>0</xdr:col>
      <xdr:colOff>1709296</xdr:colOff>
      <xdr:row>11</xdr:row>
      <xdr:rowOff>182217</xdr:rowOff>
    </xdr:to>
    <xdr:grpSp>
      <xdr:nvGrpSpPr>
        <xdr:cNvPr id="140" name="Group 139">
          <a:extLst>
            <a:ext uri="{FF2B5EF4-FFF2-40B4-BE49-F238E27FC236}">
              <a16:creationId xmlns:a16="http://schemas.microsoft.com/office/drawing/2014/main" id="{A2D59E58-3D0D-6BEA-657A-F55A09F6F0E7}"/>
            </a:ext>
          </a:extLst>
        </xdr:cNvPr>
        <xdr:cNvGrpSpPr/>
      </xdr:nvGrpSpPr>
      <xdr:grpSpPr>
        <a:xfrm>
          <a:off x="2127" y="5980449"/>
          <a:ext cx="1707169" cy="494618"/>
          <a:chOff x="2213" y="5938772"/>
          <a:chExt cx="1725184" cy="485874"/>
        </a:xfrm>
      </xdr:grpSpPr>
      <xdr:sp macro="" textlink="">
        <xdr:nvSpPr>
          <xdr:cNvPr id="217" name="Rectangle: Rounded Corners 216">
            <a:extLst>
              <a:ext uri="{FF2B5EF4-FFF2-40B4-BE49-F238E27FC236}">
                <a16:creationId xmlns:a16="http://schemas.microsoft.com/office/drawing/2014/main" id="{03A34382-E23A-8ED1-28C0-00723C41844D}"/>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8" name="TextBox 217">
            <a:hlinkClick xmlns:r="http://schemas.openxmlformats.org/officeDocument/2006/relationships" r:id="rId15"/>
            <a:extLst>
              <a:ext uri="{FF2B5EF4-FFF2-40B4-BE49-F238E27FC236}">
                <a16:creationId xmlns:a16="http://schemas.microsoft.com/office/drawing/2014/main" id="{0E4E2B65-020B-AA94-3C4C-2AD170EFC925}"/>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9" name="Oval 218">
            <a:extLst>
              <a:ext uri="{FF2B5EF4-FFF2-40B4-BE49-F238E27FC236}">
                <a16:creationId xmlns:a16="http://schemas.microsoft.com/office/drawing/2014/main" id="{3340C3AE-BBEB-3D61-384E-7D1EE9786177}"/>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0" name="TextBox 219">
            <a:hlinkClick xmlns:r="http://schemas.openxmlformats.org/officeDocument/2006/relationships" r:id="rId15"/>
            <a:extLst>
              <a:ext uri="{FF2B5EF4-FFF2-40B4-BE49-F238E27FC236}">
                <a16:creationId xmlns:a16="http://schemas.microsoft.com/office/drawing/2014/main" id="{7494FA35-0D26-985F-6186-3697592F75AD}"/>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11</xdr:row>
      <xdr:rowOff>202007</xdr:rowOff>
    </xdr:from>
    <xdr:to>
      <xdr:col>0</xdr:col>
      <xdr:colOff>1708011</xdr:colOff>
      <xdr:row>12</xdr:row>
      <xdr:rowOff>290831</xdr:rowOff>
    </xdr:to>
    <xdr:grpSp>
      <xdr:nvGrpSpPr>
        <xdr:cNvPr id="141" name="Group 140">
          <a:extLst>
            <a:ext uri="{FF2B5EF4-FFF2-40B4-BE49-F238E27FC236}">
              <a16:creationId xmlns:a16="http://schemas.microsoft.com/office/drawing/2014/main" id="{7A44C7E9-EDED-2866-4265-1CEC01B91F6B}"/>
            </a:ext>
          </a:extLst>
        </xdr:cNvPr>
        <xdr:cNvGrpSpPr/>
      </xdr:nvGrpSpPr>
      <xdr:grpSpPr>
        <a:xfrm>
          <a:off x="842" y="6494857"/>
          <a:ext cx="1707169" cy="457124"/>
          <a:chOff x="876" y="6443539"/>
          <a:chExt cx="1725184" cy="456924"/>
        </a:xfrm>
      </xdr:grpSpPr>
      <xdr:sp macro="" textlink="">
        <xdr:nvSpPr>
          <xdr:cNvPr id="213" name="Rectangle: Rounded Corners 212">
            <a:extLst>
              <a:ext uri="{FF2B5EF4-FFF2-40B4-BE49-F238E27FC236}">
                <a16:creationId xmlns:a16="http://schemas.microsoft.com/office/drawing/2014/main" id="{644AA387-1A86-4DD0-DC7B-F7B157528595}"/>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4" name="TextBox 213">
            <a:hlinkClick xmlns:r="http://schemas.openxmlformats.org/officeDocument/2006/relationships" r:id="rId16"/>
            <a:extLst>
              <a:ext uri="{FF2B5EF4-FFF2-40B4-BE49-F238E27FC236}">
                <a16:creationId xmlns:a16="http://schemas.microsoft.com/office/drawing/2014/main" id="{4130373D-EEBA-FE6E-460B-991C61CF5743}"/>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5" name="Oval 214">
            <a:extLst>
              <a:ext uri="{FF2B5EF4-FFF2-40B4-BE49-F238E27FC236}">
                <a16:creationId xmlns:a16="http://schemas.microsoft.com/office/drawing/2014/main" id="{A4DEC51F-FC04-7423-89D3-F574C68A9FCA}"/>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6" name="TextBox 215">
            <a:hlinkClick xmlns:r="http://schemas.openxmlformats.org/officeDocument/2006/relationships" r:id="rId16"/>
            <a:extLst>
              <a:ext uri="{FF2B5EF4-FFF2-40B4-BE49-F238E27FC236}">
                <a16:creationId xmlns:a16="http://schemas.microsoft.com/office/drawing/2014/main" id="{4BA200F1-5238-96BA-DCE3-D68B482F2E8B}"/>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13</xdr:row>
      <xdr:rowOff>266343</xdr:rowOff>
    </xdr:from>
    <xdr:to>
      <xdr:col>0</xdr:col>
      <xdr:colOff>1708946</xdr:colOff>
      <xdr:row>14</xdr:row>
      <xdr:rowOff>179136</xdr:rowOff>
    </xdr:to>
    <xdr:grpSp>
      <xdr:nvGrpSpPr>
        <xdr:cNvPr id="142" name="Group 141">
          <a:extLst>
            <a:ext uri="{FF2B5EF4-FFF2-40B4-BE49-F238E27FC236}">
              <a16:creationId xmlns:a16="http://schemas.microsoft.com/office/drawing/2014/main" id="{1F2A61C5-4CE3-2BA1-0C89-E04185F7A68C}"/>
            </a:ext>
          </a:extLst>
        </xdr:cNvPr>
        <xdr:cNvGrpSpPr/>
      </xdr:nvGrpSpPr>
      <xdr:grpSpPr>
        <a:xfrm>
          <a:off x="1777" y="7479943"/>
          <a:ext cx="1707169" cy="465243"/>
          <a:chOff x="1849" y="7421500"/>
          <a:chExt cx="1725184" cy="457832"/>
        </a:xfrm>
      </xdr:grpSpPr>
      <xdr:sp macro="" textlink="">
        <xdr:nvSpPr>
          <xdr:cNvPr id="209" name="Rectangle: Rounded Corners 208">
            <a:extLst>
              <a:ext uri="{FF2B5EF4-FFF2-40B4-BE49-F238E27FC236}">
                <a16:creationId xmlns:a16="http://schemas.microsoft.com/office/drawing/2014/main" id="{854DAB77-6D48-6E69-C13E-467BDBA9D9F2}"/>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0" name="TextBox 209">
            <a:hlinkClick xmlns:r="http://schemas.openxmlformats.org/officeDocument/2006/relationships" r:id="rId17"/>
            <a:extLst>
              <a:ext uri="{FF2B5EF4-FFF2-40B4-BE49-F238E27FC236}">
                <a16:creationId xmlns:a16="http://schemas.microsoft.com/office/drawing/2014/main" id="{8B0B8C63-61E9-540E-B82A-D4E4A6E40A86}"/>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1" name="Oval 210">
            <a:extLst>
              <a:ext uri="{FF2B5EF4-FFF2-40B4-BE49-F238E27FC236}">
                <a16:creationId xmlns:a16="http://schemas.microsoft.com/office/drawing/2014/main" id="{88A685D3-8E30-2456-753D-D2871D148439}"/>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2" name="TextBox 211">
            <a:hlinkClick xmlns:r="http://schemas.openxmlformats.org/officeDocument/2006/relationships" r:id="rId17"/>
            <a:extLst>
              <a:ext uri="{FF2B5EF4-FFF2-40B4-BE49-F238E27FC236}">
                <a16:creationId xmlns:a16="http://schemas.microsoft.com/office/drawing/2014/main" id="{18C71DF2-CA0B-F0D3-77D4-D8F4E00FF9D1}"/>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14</xdr:row>
      <xdr:rowOff>206684</xdr:rowOff>
    </xdr:from>
    <xdr:to>
      <xdr:col>0</xdr:col>
      <xdr:colOff>1710873</xdr:colOff>
      <xdr:row>15</xdr:row>
      <xdr:rowOff>326829</xdr:rowOff>
    </xdr:to>
    <xdr:grpSp>
      <xdr:nvGrpSpPr>
        <xdr:cNvPr id="143" name="Group 142">
          <a:extLst>
            <a:ext uri="{FF2B5EF4-FFF2-40B4-BE49-F238E27FC236}">
              <a16:creationId xmlns:a16="http://schemas.microsoft.com/office/drawing/2014/main" id="{D86DE74B-1745-B6AC-0CC8-36D62998B806}"/>
            </a:ext>
          </a:extLst>
        </xdr:cNvPr>
        <xdr:cNvGrpSpPr/>
      </xdr:nvGrpSpPr>
      <xdr:grpSpPr>
        <a:xfrm>
          <a:off x="3704" y="7972734"/>
          <a:ext cx="1707169" cy="488445"/>
          <a:chOff x="3854" y="7898602"/>
          <a:chExt cx="1725184" cy="486825"/>
        </a:xfrm>
      </xdr:grpSpPr>
      <xdr:sp macro="" textlink="">
        <xdr:nvSpPr>
          <xdr:cNvPr id="205" name="Rectangle: Rounded Corners 204">
            <a:extLst>
              <a:ext uri="{FF2B5EF4-FFF2-40B4-BE49-F238E27FC236}">
                <a16:creationId xmlns:a16="http://schemas.microsoft.com/office/drawing/2014/main" id="{3D34FB8C-907F-6CBA-3A4B-03BC3BD520AB}"/>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6" name="TextBox 205">
            <a:hlinkClick xmlns:r="http://schemas.openxmlformats.org/officeDocument/2006/relationships" r:id="rId18"/>
            <a:extLst>
              <a:ext uri="{FF2B5EF4-FFF2-40B4-BE49-F238E27FC236}">
                <a16:creationId xmlns:a16="http://schemas.microsoft.com/office/drawing/2014/main" id="{82C43E79-6F94-F472-B098-AA80FE4CE415}"/>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7" name="Oval 206">
            <a:extLst>
              <a:ext uri="{FF2B5EF4-FFF2-40B4-BE49-F238E27FC236}">
                <a16:creationId xmlns:a16="http://schemas.microsoft.com/office/drawing/2014/main" id="{2925EA01-CD89-35C7-9B35-391248F23FDC}"/>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8" name="TextBox 207">
            <a:hlinkClick xmlns:r="http://schemas.openxmlformats.org/officeDocument/2006/relationships" r:id="rId18"/>
            <a:extLst>
              <a:ext uri="{FF2B5EF4-FFF2-40B4-BE49-F238E27FC236}">
                <a16:creationId xmlns:a16="http://schemas.microsoft.com/office/drawing/2014/main" id="{993774CE-844D-23C6-5D90-9495EFF1758E}"/>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15</xdr:row>
      <xdr:rowOff>350935</xdr:rowOff>
    </xdr:from>
    <xdr:to>
      <xdr:col>0</xdr:col>
      <xdr:colOff>1712157</xdr:colOff>
      <xdr:row>16</xdr:row>
      <xdr:rowOff>261217</xdr:rowOff>
    </xdr:to>
    <xdr:grpSp>
      <xdr:nvGrpSpPr>
        <xdr:cNvPr id="144" name="Group 143">
          <a:extLst>
            <a:ext uri="{FF2B5EF4-FFF2-40B4-BE49-F238E27FC236}">
              <a16:creationId xmlns:a16="http://schemas.microsoft.com/office/drawing/2014/main" id="{D3A74BE1-C3AC-918E-BA94-0D26E40AD278}"/>
            </a:ext>
          </a:extLst>
        </xdr:cNvPr>
        <xdr:cNvGrpSpPr/>
      </xdr:nvGrpSpPr>
      <xdr:grpSpPr>
        <a:xfrm>
          <a:off x="4988" y="8485285"/>
          <a:ext cx="1707169" cy="462732"/>
          <a:chOff x="5190" y="8408439"/>
          <a:chExt cx="1725184" cy="455434"/>
        </a:xfrm>
      </xdr:grpSpPr>
      <xdr:sp macro="" textlink="">
        <xdr:nvSpPr>
          <xdr:cNvPr id="201" name="Rectangle: Rounded Corners 200">
            <a:extLst>
              <a:ext uri="{FF2B5EF4-FFF2-40B4-BE49-F238E27FC236}">
                <a16:creationId xmlns:a16="http://schemas.microsoft.com/office/drawing/2014/main" id="{0C8BBA90-9191-CF38-8747-33DB3E3E5C62}"/>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2" name="TextBox 201">
            <a:hlinkClick xmlns:r="http://schemas.openxmlformats.org/officeDocument/2006/relationships" r:id="rId19"/>
            <a:extLst>
              <a:ext uri="{FF2B5EF4-FFF2-40B4-BE49-F238E27FC236}">
                <a16:creationId xmlns:a16="http://schemas.microsoft.com/office/drawing/2014/main" id="{E7CA38DA-0D49-57AF-9C59-4EBCAB96ABF7}"/>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3" name="Oval 202">
            <a:extLst>
              <a:ext uri="{FF2B5EF4-FFF2-40B4-BE49-F238E27FC236}">
                <a16:creationId xmlns:a16="http://schemas.microsoft.com/office/drawing/2014/main" id="{22C32376-00DF-A8C0-1152-A1A2B7C18703}"/>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4" name="TextBox 203">
            <a:hlinkClick xmlns:r="http://schemas.openxmlformats.org/officeDocument/2006/relationships" r:id="rId19"/>
            <a:extLst>
              <a:ext uri="{FF2B5EF4-FFF2-40B4-BE49-F238E27FC236}">
                <a16:creationId xmlns:a16="http://schemas.microsoft.com/office/drawing/2014/main" id="{998DACF5-F73A-44BB-1427-53BE8CC20521}"/>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16</xdr:row>
      <xdr:rowOff>274005</xdr:rowOff>
    </xdr:from>
    <xdr:to>
      <xdr:col>0</xdr:col>
      <xdr:colOff>1713207</xdr:colOff>
      <xdr:row>17</xdr:row>
      <xdr:rowOff>209432</xdr:rowOff>
    </xdr:to>
    <xdr:grpSp>
      <xdr:nvGrpSpPr>
        <xdr:cNvPr id="145" name="Group 144">
          <a:extLst>
            <a:ext uri="{FF2B5EF4-FFF2-40B4-BE49-F238E27FC236}">
              <a16:creationId xmlns:a16="http://schemas.microsoft.com/office/drawing/2014/main" id="{D6D1EC8C-BB0B-520D-59E9-1626CD68F717}"/>
            </a:ext>
          </a:extLst>
        </xdr:cNvPr>
        <xdr:cNvGrpSpPr/>
      </xdr:nvGrpSpPr>
      <xdr:grpSpPr>
        <a:xfrm>
          <a:off x="6038" y="8960805"/>
          <a:ext cx="1707169" cy="487877"/>
          <a:chOff x="6283" y="8882925"/>
          <a:chExt cx="1725184" cy="479438"/>
        </a:xfrm>
      </xdr:grpSpPr>
      <xdr:sp macro="" textlink="">
        <xdr:nvSpPr>
          <xdr:cNvPr id="197" name="Rectangle: Rounded Corners 196">
            <a:extLst>
              <a:ext uri="{FF2B5EF4-FFF2-40B4-BE49-F238E27FC236}">
                <a16:creationId xmlns:a16="http://schemas.microsoft.com/office/drawing/2014/main" id="{2DC70D3A-84D1-EC4B-B07D-F7F115E9D82A}"/>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8" name="TextBox 197">
            <a:hlinkClick xmlns:r="http://schemas.openxmlformats.org/officeDocument/2006/relationships" r:id="rId20"/>
            <a:extLst>
              <a:ext uri="{FF2B5EF4-FFF2-40B4-BE49-F238E27FC236}">
                <a16:creationId xmlns:a16="http://schemas.microsoft.com/office/drawing/2014/main" id="{B30D5957-BFF4-1089-5590-07430755B617}"/>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9" name="Oval 198">
            <a:extLst>
              <a:ext uri="{FF2B5EF4-FFF2-40B4-BE49-F238E27FC236}">
                <a16:creationId xmlns:a16="http://schemas.microsoft.com/office/drawing/2014/main" id="{93785B19-D21E-6562-D252-61BDE0735E86}"/>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0" name="TextBox 199">
            <a:hlinkClick xmlns:r="http://schemas.openxmlformats.org/officeDocument/2006/relationships" r:id="rId20"/>
            <a:extLst>
              <a:ext uri="{FF2B5EF4-FFF2-40B4-BE49-F238E27FC236}">
                <a16:creationId xmlns:a16="http://schemas.microsoft.com/office/drawing/2014/main" id="{8166FBF3-3222-71B7-E169-272CB15D9715}"/>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18</xdr:row>
      <xdr:rowOff>182190</xdr:rowOff>
    </xdr:from>
    <xdr:to>
      <xdr:col>0</xdr:col>
      <xdr:colOff>1711774</xdr:colOff>
      <xdr:row>19</xdr:row>
      <xdr:rowOff>96253</xdr:rowOff>
    </xdr:to>
    <xdr:grpSp>
      <xdr:nvGrpSpPr>
        <xdr:cNvPr id="146" name="Group 145">
          <a:extLst>
            <a:ext uri="{FF2B5EF4-FFF2-40B4-BE49-F238E27FC236}">
              <a16:creationId xmlns:a16="http://schemas.microsoft.com/office/drawing/2014/main" id="{713EB8AE-A07A-7F7F-0620-A3B301E924B7}"/>
            </a:ext>
          </a:extLst>
        </xdr:cNvPr>
        <xdr:cNvGrpSpPr/>
      </xdr:nvGrpSpPr>
      <xdr:grpSpPr>
        <a:xfrm>
          <a:off x="4605" y="9973890"/>
          <a:ext cx="1707169" cy="466513"/>
          <a:chOff x="4792" y="9884285"/>
          <a:chExt cx="1725184" cy="459044"/>
        </a:xfrm>
      </xdr:grpSpPr>
      <xdr:sp macro="" textlink="">
        <xdr:nvSpPr>
          <xdr:cNvPr id="193" name="Rectangle: Rounded Corners 192">
            <a:extLst>
              <a:ext uri="{FF2B5EF4-FFF2-40B4-BE49-F238E27FC236}">
                <a16:creationId xmlns:a16="http://schemas.microsoft.com/office/drawing/2014/main" id="{26CD5131-AA56-AF96-5B30-42C35FDF4055}"/>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4" name="TextBox 193">
            <a:hlinkClick xmlns:r="http://schemas.openxmlformats.org/officeDocument/2006/relationships" r:id="rId21"/>
            <a:extLst>
              <a:ext uri="{FF2B5EF4-FFF2-40B4-BE49-F238E27FC236}">
                <a16:creationId xmlns:a16="http://schemas.microsoft.com/office/drawing/2014/main" id="{96A67B2C-A18B-615E-1618-5519553A9611}"/>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5" name="Oval 194">
            <a:extLst>
              <a:ext uri="{FF2B5EF4-FFF2-40B4-BE49-F238E27FC236}">
                <a16:creationId xmlns:a16="http://schemas.microsoft.com/office/drawing/2014/main" id="{22839DFD-B184-E54F-41FA-2C159DECFFD8}"/>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6" name="TextBox 195">
            <a:hlinkClick xmlns:r="http://schemas.openxmlformats.org/officeDocument/2006/relationships" r:id="rId21"/>
            <a:extLst>
              <a:ext uri="{FF2B5EF4-FFF2-40B4-BE49-F238E27FC236}">
                <a16:creationId xmlns:a16="http://schemas.microsoft.com/office/drawing/2014/main" id="{813E3F89-04B9-9194-646D-C39D91A0230B}"/>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17</xdr:row>
      <xdr:rowOff>227415</xdr:rowOff>
    </xdr:from>
    <xdr:to>
      <xdr:col>0</xdr:col>
      <xdr:colOff>1712537</xdr:colOff>
      <xdr:row>18</xdr:row>
      <xdr:rowOff>157911</xdr:rowOff>
    </xdr:to>
    <xdr:grpSp>
      <xdr:nvGrpSpPr>
        <xdr:cNvPr id="147" name="Group 146">
          <a:extLst>
            <a:ext uri="{FF2B5EF4-FFF2-40B4-BE49-F238E27FC236}">
              <a16:creationId xmlns:a16="http://schemas.microsoft.com/office/drawing/2014/main" id="{FA3B2326-E9B1-57C5-D535-B0E0F7302E94}"/>
            </a:ext>
          </a:extLst>
        </xdr:cNvPr>
        <xdr:cNvGrpSpPr/>
      </xdr:nvGrpSpPr>
      <xdr:grpSpPr>
        <a:xfrm>
          <a:off x="5368" y="9466665"/>
          <a:ext cx="1707169" cy="482946"/>
          <a:chOff x="5586" y="9379532"/>
          <a:chExt cx="1725184" cy="481576"/>
        </a:xfrm>
      </xdr:grpSpPr>
      <xdr:sp macro="" textlink="">
        <xdr:nvSpPr>
          <xdr:cNvPr id="189" name="Rectangle: Rounded Corners 188">
            <a:extLst>
              <a:ext uri="{FF2B5EF4-FFF2-40B4-BE49-F238E27FC236}">
                <a16:creationId xmlns:a16="http://schemas.microsoft.com/office/drawing/2014/main" id="{14402604-9E8A-D88E-E8DF-329BB0B2673F}"/>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0" name="TextBox 189">
            <a:hlinkClick xmlns:r="http://schemas.openxmlformats.org/officeDocument/2006/relationships" r:id="rId22"/>
            <a:extLst>
              <a:ext uri="{FF2B5EF4-FFF2-40B4-BE49-F238E27FC236}">
                <a16:creationId xmlns:a16="http://schemas.microsoft.com/office/drawing/2014/main" id="{1DE632B6-75A4-1745-A58F-FE79A8C65382}"/>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1" name="Oval 190">
            <a:extLst>
              <a:ext uri="{FF2B5EF4-FFF2-40B4-BE49-F238E27FC236}">
                <a16:creationId xmlns:a16="http://schemas.microsoft.com/office/drawing/2014/main" id="{00D1EAFC-76A7-9D61-70DB-923EECBC68B7}"/>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2" name="TextBox 191">
            <a:hlinkClick xmlns:r="http://schemas.openxmlformats.org/officeDocument/2006/relationships" r:id="rId22"/>
            <a:extLst>
              <a:ext uri="{FF2B5EF4-FFF2-40B4-BE49-F238E27FC236}">
                <a16:creationId xmlns:a16="http://schemas.microsoft.com/office/drawing/2014/main" id="{E380A0F0-3D38-0D7B-B1B6-0679ACFD80FD}"/>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19</xdr:row>
      <xdr:rowOff>104652</xdr:rowOff>
    </xdr:from>
    <xdr:to>
      <xdr:col>0</xdr:col>
      <xdr:colOff>1711005</xdr:colOff>
      <xdr:row>20</xdr:row>
      <xdr:rowOff>47449</xdr:rowOff>
    </xdr:to>
    <xdr:grpSp>
      <xdr:nvGrpSpPr>
        <xdr:cNvPr id="148" name="Group 147">
          <a:extLst>
            <a:ext uri="{FF2B5EF4-FFF2-40B4-BE49-F238E27FC236}">
              <a16:creationId xmlns:a16="http://schemas.microsoft.com/office/drawing/2014/main" id="{6E035EC5-6441-18A9-A982-F94470D7EA4A}"/>
            </a:ext>
          </a:extLst>
        </xdr:cNvPr>
        <xdr:cNvGrpSpPr/>
      </xdr:nvGrpSpPr>
      <xdr:grpSpPr>
        <a:xfrm>
          <a:off x="3836" y="10448802"/>
          <a:ext cx="1707169" cy="495247"/>
          <a:chOff x="3992" y="10358190"/>
          <a:chExt cx="1725184" cy="486476"/>
        </a:xfrm>
      </xdr:grpSpPr>
      <xdr:sp macro="" textlink="">
        <xdr:nvSpPr>
          <xdr:cNvPr id="185" name="Rectangle: Rounded Corners 184">
            <a:extLst>
              <a:ext uri="{FF2B5EF4-FFF2-40B4-BE49-F238E27FC236}">
                <a16:creationId xmlns:a16="http://schemas.microsoft.com/office/drawing/2014/main" id="{3DE5127C-4916-F7E1-9AB0-4E4863377665}"/>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6" name="TextBox 185">
            <a:hlinkClick xmlns:r="http://schemas.openxmlformats.org/officeDocument/2006/relationships" r:id="rId23"/>
            <a:extLst>
              <a:ext uri="{FF2B5EF4-FFF2-40B4-BE49-F238E27FC236}">
                <a16:creationId xmlns:a16="http://schemas.microsoft.com/office/drawing/2014/main" id="{5D1552BA-3BD1-5936-0325-A7A7A0D225F7}"/>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87" name="Oval 186">
            <a:extLst>
              <a:ext uri="{FF2B5EF4-FFF2-40B4-BE49-F238E27FC236}">
                <a16:creationId xmlns:a16="http://schemas.microsoft.com/office/drawing/2014/main" id="{74DB88A5-CD74-CB53-0961-4904658539B8}"/>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8" name="TextBox 187">
            <a:hlinkClick xmlns:r="http://schemas.openxmlformats.org/officeDocument/2006/relationships" r:id="rId23"/>
            <a:extLst>
              <a:ext uri="{FF2B5EF4-FFF2-40B4-BE49-F238E27FC236}">
                <a16:creationId xmlns:a16="http://schemas.microsoft.com/office/drawing/2014/main" id="{4324EEC6-7C4A-6CF6-0AE9-B6BCA55EF7CC}"/>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20</xdr:row>
      <xdr:rowOff>64766</xdr:rowOff>
    </xdr:from>
    <xdr:to>
      <xdr:col>0</xdr:col>
      <xdr:colOff>1712668</xdr:colOff>
      <xdr:row>21</xdr:row>
      <xdr:rowOff>152044</xdr:rowOff>
    </xdr:to>
    <xdr:grpSp>
      <xdr:nvGrpSpPr>
        <xdr:cNvPr id="150" name="Group 149">
          <a:extLst>
            <a:ext uri="{FF2B5EF4-FFF2-40B4-BE49-F238E27FC236}">
              <a16:creationId xmlns:a16="http://schemas.microsoft.com/office/drawing/2014/main" id="{CE79C6EC-2E33-072E-8DCF-376556FA0BFD}"/>
            </a:ext>
          </a:extLst>
        </xdr:cNvPr>
        <xdr:cNvGrpSpPr/>
      </xdr:nvGrpSpPr>
      <xdr:grpSpPr>
        <a:xfrm>
          <a:off x="5499" y="10961366"/>
          <a:ext cx="1707169" cy="455578"/>
          <a:chOff x="5723" y="10874564"/>
          <a:chExt cx="1725184" cy="455447"/>
        </a:xfrm>
      </xdr:grpSpPr>
      <xdr:sp macro="" textlink="">
        <xdr:nvSpPr>
          <xdr:cNvPr id="177" name="Rectangle: Rounded Corners 176">
            <a:extLst>
              <a:ext uri="{FF2B5EF4-FFF2-40B4-BE49-F238E27FC236}">
                <a16:creationId xmlns:a16="http://schemas.microsoft.com/office/drawing/2014/main" id="{3F25BD4A-2BDC-5E35-5D42-C0B55508FD99}"/>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24"/>
            <a:extLst>
              <a:ext uri="{FF2B5EF4-FFF2-40B4-BE49-F238E27FC236}">
                <a16:creationId xmlns:a16="http://schemas.microsoft.com/office/drawing/2014/main" id="{CCC20AAF-47A1-E90E-2483-2E6072654FAE}"/>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9" name="Oval 178">
            <a:extLst>
              <a:ext uri="{FF2B5EF4-FFF2-40B4-BE49-F238E27FC236}">
                <a16:creationId xmlns:a16="http://schemas.microsoft.com/office/drawing/2014/main" id="{1AB79EC0-A644-020C-88E8-9CC46992F3F9}"/>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24"/>
            <a:extLst>
              <a:ext uri="{FF2B5EF4-FFF2-40B4-BE49-F238E27FC236}">
                <a16:creationId xmlns:a16="http://schemas.microsoft.com/office/drawing/2014/main" id="{4925DF9C-3061-124E-6AFA-CF6CF693F7D1}"/>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21</xdr:row>
      <xdr:rowOff>170882</xdr:rowOff>
    </xdr:from>
    <xdr:to>
      <xdr:col>0</xdr:col>
      <xdr:colOff>1711471</xdr:colOff>
      <xdr:row>22</xdr:row>
      <xdr:rowOff>291059</xdr:rowOff>
    </xdr:to>
    <xdr:grpSp>
      <xdr:nvGrpSpPr>
        <xdr:cNvPr id="151" name="Group 150">
          <a:extLst>
            <a:ext uri="{FF2B5EF4-FFF2-40B4-BE49-F238E27FC236}">
              <a16:creationId xmlns:a16="http://schemas.microsoft.com/office/drawing/2014/main" id="{1590907C-6F88-E505-DF8F-1C81B26E54EF}"/>
            </a:ext>
          </a:extLst>
        </xdr:cNvPr>
        <xdr:cNvGrpSpPr/>
      </xdr:nvGrpSpPr>
      <xdr:grpSpPr>
        <a:xfrm>
          <a:off x="4302" y="11435782"/>
          <a:ext cx="1707169" cy="488477"/>
          <a:chOff x="4477" y="11347997"/>
          <a:chExt cx="1725184" cy="480012"/>
        </a:xfrm>
      </xdr:grpSpPr>
      <xdr:sp macro="" textlink="">
        <xdr:nvSpPr>
          <xdr:cNvPr id="173" name="Rectangle: Rounded Corners 172">
            <a:extLst>
              <a:ext uri="{FF2B5EF4-FFF2-40B4-BE49-F238E27FC236}">
                <a16:creationId xmlns:a16="http://schemas.microsoft.com/office/drawing/2014/main" id="{0B689F0C-1A0A-9D31-6155-CCF98F1C946A}"/>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25"/>
            <a:extLst>
              <a:ext uri="{FF2B5EF4-FFF2-40B4-BE49-F238E27FC236}">
                <a16:creationId xmlns:a16="http://schemas.microsoft.com/office/drawing/2014/main" id="{1043EB59-8CF6-4106-8078-4C8FB59964B0}"/>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5" name="Oval 174">
            <a:extLst>
              <a:ext uri="{FF2B5EF4-FFF2-40B4-BE49-F238E27FC236}">
                <a16:creationId xmlns:a16="http://schemas.microsoft.com/office/drawing/2014/main" id="{3AEB5646-DE79-8713-3B8F-36856F7B75CC}"/>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25"/>
            <a:extLst>
              <a:ext uri="{FF2B5EF4-FFF2-40B4-BE49-F238E27FC236}">
                <a16:creationId xmlns:a16="http://schemas.microsoft.com/office/drawing/2014/main" id="{714E1AEC-7FA2-D47C-C222-46453AADA13E}"/>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12</xdr:row>
      <xdr:rowOff>309897</xdr:rowOff>
    </xdr:from>
    <xdr:to>
      <xdr:col>0</xdr:col>
      <xdr:colOff>1707169</xdr:colOff>
      <xdr:row>13</xdr:row>
      <xdr:rowOff>242866</xdr:rowOff>
    </xdr:to>
    <xdr:grpSp>
      <xdr:nvGrpSpPr>
        <xdr:cNvPr id="152" name="Group 151">
          <a:extLst>
            <a:ext uri="{FF2B5EF4-FFF2-40B4-BE49-F238E27FC236}">
              <a16:creationId xmlns:a16="http://schemas.microsoft.com/office/drawing/2014/main" id="{85C2D8D8-713E-6B36-42A5-FB7E9AFB5E57}"/>
            </a:ext>
          </a:extLst>
        </xdr:cNvPr>
        <xdr:cNvGrpSpPr/>
      </xdr:nvGrpSpPr>
      <xdr:grpSpPr>
        <a:xfrm>
          <a:off x="0" y="6971047"/>
          <a:ext cx="1707169" cy="485419"/>
          <a:chOff x="0" y="6922179"/>
          <a:chExt cx="1725184" cy="482848"/>
        </a:xfrm>
      </xdr:grpSpPr>
      <xdr:sp macro="" textlink="">
        <xdr:nvSpPr>
          <xdr:cNvPr id="169" name="Rectangle: Rounded Corners 168">
            <a:extLst>
              <a:ext uri="{FF2B5EF4-FFF2-40B4-BE49-F238E27FC236}">
                <a16:creationId xmlns:a16="http://schemas.microsoft.com/office/drawing/2014/main" id="{6C54EE13-E0DD-8255-A234-DB1BA4745942}"/>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16"/>
            <a:extLst>
              <a:ext uri="{FF2B5EF4-FFF2-40B4-BE49-F238E27FC236}">
                <a16:creationId xmlns:a16="http://schemas.microsoft.com/office/drawing/2014/main" id="{8E30F5E0-7DA9-F4F6-924F-600810D8A4D5}"/>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1" name="Oval 170">
            <a:extLst>
              <a:ext uri="{FF2B5EF4-FFF2-40B4-BE49-F238E27FC236}">
                <a16:creationId xmlns:a16="http://schemas.microsoft.com/office/drawing/2014/main" id="{0FD5D9A7-EC8B-1F35-E352-DA2EB8AA1485}"/>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26"/>
            <a:extLst>
              <a:ext uri="{FF2B5EF4-FFF2-40B4-BE49-F238E27FC236}">
                <a16:creationId xmlns:a16="http://schemas.microsoft.com/office/drawing/2014/main" id="{E377536B-620B-7D09-26D5-46B97498CF07}"/>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22</xdr:row>
      <xdr:rowOff>303604</xdr:rowOff>
    </xdr:from>
    <xdr:to>
      <xdr:col>0</xdr:col>
      <xdr:colOff>1711953</xdr:colOff>
      <xdr:row>23</xdr:row>
      <xdr:rowOff>55481</xdr:rowOff>
    </xdr:to>
    <xdr:grpSp>
      <xdr:nvGrpSpPr>
        <xdr:cNvPr id="155" name="Group 154">
          <a:extLst>
            <a:ext uri="{FF2B5EF4-FFF2-40B4-BE49-F238E27FC236}">
              <a16:creationId xmlns:a16="http://schemas.microsoft.com/office/drawing/2014/main" id="{6C3A8AEB-4290-F21C-2FAD-F66950786F0B}"/>
            </a:ext>
          </a:extLst>
        </xdr:cNvPr>
        <xdr:cNvGrpSpPr/>
      </xdr:nvGrpSpPr>
      <xdr:grpSpPr>
        <a:xfrm>
          <a:off x="5742" y="11936804"/>
          <a:ext cx="1706211" cy="488477"/>
          <a:chOff x="4477" y="11347997"/>
          <a:chExt cx="1725184" cy="480012"/>
        </a:xfrm>
      </xdr:grpSpPr>
      <xdr:sp macro="" textlink="">
        <xdr:nvSpPr>
          <xdr:cNvPr id="161" name="Rectangle: Rounded Corners 160">
            <a:extLst>
              <a:ext uri="{FF2B5EF4-FFF2-40B4-BE49-F238E27FC236}">
                <a16:creationId xmlns:a16="http://schemas.microsoft.com/office/drawing/2014/main" id="{AB93A567-DCA7-1DC5-1648-938DEAE060DB}"/>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2" name="TextBox 161">
            <a:hlinkClick xmlns:r="http://schemas.openxmlformats.org/officeDocument/2006/relationships" r:id="rId27"/>
            <a:extLst>
              <a:ext uri="{FF2B5EF4-FFF2-40B4-BE49-F238E27FC236}">
                <a16:creationId xmlns:a16="http://schemas.microsoft.com/office/drawing/2014/main" id="{D7C39F96-51B2-A1A7-9495-372FE44A27CD}"/>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63" name="Oval 162">
            <a:extLst>
              <a:ext uri="{FF2B5EF4-FFF2-40B4-BE49-F238E27FC236}">
                <a16:creationId xmlns:a16="http://schemas.microsoft.com/office/drawing/2014/main" id="{C7197F1F-7D2B-935E-A5A9-FB7D83DC76DB}"/>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64" name="TextBox 163">
            <a:hlinkClick xmlns:r="http://schemas.openxmlformats.org/officeDocument/2006/relationships" r:id="rId27"/>
            <a:extLst>
              <a:ext uri="{FF2B5EF4-FFF2-40B4-BE49-F238E27FC236}">
                <a16:creationId xmlns:a16="http://schemas.microsoft.com/office/drawing/2014/main" id="{067B233B-791D-D7A7-7AE2-8B5ABD17C568}"/>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4" name="Group 13">
          <a:extLst>
            <a:ext uri="{FF2B5EF4-FFF2-40B4-BE49-F238E27FC236}">
              <a16:creationId xmlns:a16="http://schemas.microsoft.com/office/drawing/2014/main" id="{DA5A84DA-C398-47E9-B421-0D4309F3355A}"/>
            </a:ext>
          </a:extLst>
        </xdr:cNvPr>
        <xdr:cNvGrpSpPr/>
      </xdr:nvGrpSpPr>
      <xdr:grpSpPr>
        <a:xfrm>
          <a:off x="9505950" y="0"/>
          <a:ext cx="774288" cy="286106"/>
          <a:chOff x="7108587" y="129950"/>
          <a:chExt cx="884099" cy="287016"/>
        </a:xfrm>
      </xdr:grpSpPr>
      <xdr:pic>
        <xdr:nvPicPr>
          <xdr:cNvPr id="15" name="Graphic 14" descr="Rewind with solid fill">
            <a:hlinkClick xmlns:r="http://schemas.openxmlformats.org/officeDocument/2006/relationships" r:id="rId28"/>
            <a:extLst>
              <a:ext uri="{FF2B5EF4-FFF2-40B4-BE49-F238E27FC236}">
                <a16:creationId xmlns:a16="http://schemas.microsoft.com/office/drawing/2014/main" id="{DC23EDE1-5DB0-2C61-AB9E-AA18208795B8}"/>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 name="TextBox 15">
            <a:hlinkClick xmlns:r="http://schemas.openxmlformats.org/officeDocument/2006/relationships" r:id="rId28"/>
            <a:extLst>
              <a:ext uri="{FF2B5EF4-FFF2-40B4-BE49-F238E27FC236}">
                <a16:creationId xmlns:a16="http://schemas.microsoft.com/office/drawing/2014/main" id="{0F77EA2A-B4D7-6CEB-E3B5-87D6D9263C19}"/>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23</xdr:row>
      <xdr:rowOff>76200</xdr:rowOff>
    </xdr:from>
    <xdr:to>
      <xdr:col>0</xdr:col>
      <xdr:colOff>1713549</xdr:colOff>
      <xdr:row>27</xdr:row>
      <xdr:rowOff>99434</xdr:rowOff>
    </xdr:to>
    <xdr:grpSp>
      <xdr:nvGrpSpPr>
        <xdr:cNvPr id="2" name="Group 1">
          <a:extLst>
            <a:ext uri="{FF2B5EF4-FFF2-40B4-BE49-F238E27FC236}">
              <a16:creationId xmlns:a16="http://schemas.microsoft.com/office/drawing/2014/main" id="{2325128B-5CC8-4A5B-84AA-6C9E5B8CF867}"/>
            </a:ext>
          </a:extLst>
        </xdr:cNvPr>
        <xdr:cNvGrpSpPr/>
      </xdr:nvGrpSpPr>
      <xdr:grpSpPr>
        <a:xfrm>
          <a:off x="0" y="12446000"/>
          <a:ext cx="1713549" cy="2233034"/>
          <a:chOff x="5137727" y="13144500"/>
          <a:chExt cx="1713549" cy="2252946"/>
        </a:xfrm>
      </xdr:grpSpPr>
      <xdr:grpSp>
        <xdr:nvGrpSpPr>
          <xdr:cNvPr id="3" name="Group 2">
            <a:extLst>
              <a:ext uri="{FF2B5EF4-FFF2-40B4-BE49-F238E27FC236}">
                <a16:creationId xmlns:a16="http://schemas.microsoft.com/office/drawing/2014/main" id="{12F35722-014B-057A-B97E-4287C7DCC426}"/>
              </a:ext>
            </a:extLst>
          </xdr:cNvPr>
          <xdr:cNvGrpSpPr/>
        </xdr:nvGrpSpPr>
        <xdr:grpSpPr>
          <a:xfrm>
            <a:off x="5144107" y="13624532"/>
            <a:ext cx="1707169" cy="465099"/>
            <a:chOff x="3415" y="11846315"/>
            <a:chExt cx="1725184" cy="456487"/>
          </a:xfrm>
        </xdr:grpSpPr>
        <xdr:sp macro="" textlink="">
          <xdr:nvSpPr>
            <xdr:cNvPr id="24" name="Rectangle: Rounded Corners 23">
              <a:extLst>
                <a:ext uri="{FF2B5EF4-FFF2-40B4-BE49-F238E27FC236}">
                  <a16:creationId xmlns:a16="http://schemas.microsoft.com/office/drawing/2014/main" id="{9B13B0FE-19F6-F918-C22C-95607E7E3EFF}"/>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 name="TextBox 24">
              <a:hlinkClick xmlns:r="http://schemas.openxmlformats.org/officeDocument/2006/relationships" r:id="rId23"/>
              <a:extLst>
                <a:ext uri="{FF2B5EF4-FFF2-40B4-BE49-F238E27FC236}">
                  <a16:creationId xmlns:a16="http://schemas.microsoft.com/office/drawing/2014/main" id="{A20B6030-B2C1-3EAE-FB7A-2C6E324E8BD9}"/>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6" name="Oval 25">
              <a:extLst>
                <a:ext uri="{FF2B5EF4-FFF2-40B4-BE49-F238E27FC236}">
                  <a16:creationId xmlns:a16="http://schemas.microsoft.com/office/drawing/2014/main" id="{EB346B9B-3438-CE68-7540-E9269FB27E5C}"/>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7" name="TextBox 26">
              <a:hlinkClick xmlns:r="http://schemas.openxmlformats.org/officeDocument/2006/relationships" r:id="rId31"/>
              <a:extLst>
                <a:ext uri="{FF2B5EF4-FFF2-40B4-BE49-F238E27FC236}">
                  <a16:creationId xmlns:a16="http://schemas.microsoft.com/office/drawing/2014/main" id="{D104696F-838C-5BB6-32B7-544DD9E4388D}"/>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4" name="Group 3">
            <a:extLst>
              <a:ext uri="{FF2B5EF4-FFF2-40B4-BE49-F238E27FC236}">
                <a16:creationId xmlns:a16="http://schemas.microsoft.com/office/drawing/2014/main" id="{AA8774AC-1735-B40B-37C9-7C11EEB4CD2E}"/>
              </a:ext>
            </a:extLst>
          </xdr:cNvPr>
          <xdr:cNvGrpSpPr/>
        </xdr:nvGrpSpPr>
        <xdr:grpSpPr>
          <a:xfrm>
            <a:off x="5141639" y="14111307"/>
            <a:ext cx="1707169" cy="494728"/>
            <a:chOff x="847" y="12324893"/>
            <a:chExt cx="1725184" cy="486884"/>
          </a:xfrm>
        </xdr:grpSpPr>
        <xdr:sp macro="" textlink="">
          <xdr:nvSpPr>
            <xdr:cNvPr id="20" name="Rectangle: Rounded Corners 19">
              <a:extLst>
                <a:ext uri="{FF2B5EF4-FFF2-40B4-BE49-F238E27FC236}">
                  <a16:creationId xmlns:a16="http://schemas.microsoft.com/office/drawing/2014/main" id="{C2DAA5BC-1152-8497-F9C0-A253C5BB4D80}"/>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 name="TextBox 20">
              <a:hlinkClick xmlns:r="http://schemas.openxmlformats.org/officeDocument/2006/relationships" r:id="rId32"/>
              <a:extLst>
                <a:ext uri="{FF2B5EF4-FFF2-40B4-BE49-F238E27FC236}">
                  <a16:creationId xmlns:a16="http://schemas.microsoft.com/office/drawing/2014/main" id="{92A61398-2C8C-FC49-474B-06B18F214E9D}"/>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2" name="Oval 21">
              <a:extLst>
                <a:ext uri="{FF2B5EF4-FFF2-40B4-BE49-F238E27FC236}">
                  <a16:creationId xmlns:a16="http://schemas.microsoft.com/office/drawing/2014/main" id="{412CF59A-E432-F49B-6148-98514A2695B2}"/>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 name="TextBox 22">
              <a:hlinkClick xmlns:r="http://schemas.openxmlformats.org/officeDocument/2006/relationships" r:id="rId32"/>
              <a:extLst>
                <a:ext uri="{FF2B5EF4-FFF2-40B4-BE49-F238E27FC236}">
                  <a16:creationId xmlns:a16="http://schemas.microsoft.com/office/drawing/2014/main" id="{BA9B88CF-B299-26A8-093B-AFFC6681F668}"/>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5" name="TextBox 4">
            <a:extLst>
              <a:ext uri="{FF2B5EF4-FFF2-40B4-BE49-F238E27FC236}">
                <a16:creationId xmlns:a16="http://schemas.microsoft.com/office/drawing/2014/main" id="{3AB815D0-2DF4-FA76-500C-C4EB3E2F7627}"/>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6" name="Group 5">
            <a:extLst>
              <a:ext uri="{FF2B5EF4-FFF2-40B4-BE49-F238E27FC236}">
                <a16:creationId xmlns:a16="http://schemas.microsoft.com/office/drawing/2014/main" id="{603D81A6-2FC8-6786-F78C-836CAF0B9BD9}"/>
              </a:ext>
            </a:extLst>
          </xdr:cNvPr>
          <xdr:cNvGrpSpPr/>
        </xdr:nvGrpSpPr>
        <xdr:grpSpPr>
          <a:xfrm>
            <a:off x="5138008" y="14617043"/>
            <a:ext cx="1708983" cy="494290"/>
            <a:chOff x="847" y="12324893"/>
            <a:chExt cx="1725184" cy="486884"/>
          </a:xfrm>
        </xdr:grpSpPr>
        <xdr:sp macro="" textlink="">
          <xdr:nvSpPr>
            <xdr:cNvPr id="12" name="Rectangle: Rounded Corners 11">
              <a:extLst>
                <a:ext uri="{FF2B5EF4-FFF2-40B4-BE49-F238E27FC236}">
                  <a16:creationId xmlns:a16="http://schemas.microsoft.com/office/drawing/2014/main" id="{72B38C62-6446-16F4-F5E2-3216507489D1}"/>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 name="TextBox 12">
              <a:hlinkClick xmlns:r="http://schemas.openxmlformats.org/officeDocument/2006/relationships" r:id="rId33"/>
              <a:extLst>
                <a:ext uri="{FF2B5EF4-FFF2-40B4-BE49-F238E27FC236}">
                  <a16:creationId xmlns:a16="http://schemas.microsoft.com/office/drawing/2014/main" id="{36399658-5CF8-B27D-6EAC-847C969435AE}"/>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 name="Oval 16">
              <a:extLst>
                <a:ext uri="{FF2B5EF4-FFF2-40B4-BE49-F238E27FC236}">
                  <a16:creationId xmlns:a16="http://schemas.microsoft.com/office/drawing/2014/main" id="{8DAB3224-A374-9563-A4CB-8FCB328109C7}"/>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 name="TextBox 17">
              <a:hlinkClick xmlns:r="http://schemas.openxmlformats.org/officeDocument/2006/relationships" r:id="rId33"/>
              <a:extLst>
                <a:ext uri="{FF2B5EF4-FFF2-40B4-BE49-F238E27FC236}">
                  <a16:creationId xmlns:a16="http://schemas.microsoft.com/office/drawing/2014/main" id="{DC3FC235-3DDD-A2CB-DD30-47149A591526}"/>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7" name="Group 6">
            <a:extLst>
              <a:ext uri="{FF2B5EF4-FFF2-40B4-BE49-F238E27FC236}">
                <a16:creationId xmlns:a16="http://schemas.microsoft.com/office/drawing/2014/main" id="{7AFA603E-7D49-9CAC-4F9D-97EC8CF70897}"/>
              </a:ext>
            </a:extLst>
          </xdr:cNvPr>
          <xdr:cNvGrpSpPr/>
        </xdr:nvGrpSpPr>
        <xdr:grpSpPr>
          <a:xfrm>
            <a:off x="5137727" y="13144500"/>
            <a:ext cx="1707169" cy="464661"/>
            <a:chOff x="3415" y="11846315"/>
            <a:chExt cx="1725184" cy="456487"/>
          </a:xfrm>
        </xdr:grpSpPr>
        <xdr:sp macro="" textlink="">
          <xdr:nvSpPr>
            <xdr:cNvPr id="8" name="Rectangle: Rounded Corners 7">
              <a:hlinkClick xmlns:r="http://schemas.openxmlformats.org/officeDocument/2006/relationships" r:id="rId34"/>
              <a:extLst>
                <a:ext uri="{FF2B5EF4-FFF2-40B4-BE49-F238E27FC236}">
                  <a16:creationId xmlns:a16="http://schemas.microsoft.com/office/drawing/2014/main" id="{6FDCD814-AD82-F29F-3247-5EE1971EE702}"/>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 name="TextBox 8">
              <a:hlinkClick xmlns:r="http://schemas.openxmlformats.org/officeDocument/2006/relationships" r:id="rId34"/>
              <a:extLst>
                <a:ext uri="{FF2B5EF4-FFF2-40B4-BE49-F238E27FC236}">
                  <a16:creationId xmlns:a16="http://schemas.microsoft.com/office/drawing/2014/main" id="{4FB13F00-1291-ED72-923E-6FF2F74D8358}"/>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0" name="Oval 9">
              <a:hlinkClick xmlns:r="http://schemas.openxmlformats.org/officeDocument/2006/relationships" r:id="rId34"/>
              <a:extLst>
                <a:ext uri="{FF2B5EF4-FFF2-40B4-BE49-F238E27FC236}">
                  <a16:creationId xmlns:a16="http://schemas.microsoft.com/office/drawing/2014/main" id="{AABE4FF6-AF28-96D5-7A79-D77D6FF6D96E}"/>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 name="TextBox 10">
              <a:hlinkClick xmlns:r="http://schemas.openxmlformats.org/officeDocument/2006/relationships" r:id="rId34"/>
              <a:extLst>
                <a:ext uri="{FF2B5EF4-FFF2-40B4-BE49-F238E27FC236}">
                  <a16:creationId xmlns:a16="http://schemas.microsoft.com/office/drawing/2014/main" id="{292E4F61-316B-2A6F-C884-BC34598289BA}"/>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32</xdr:row>
      <xdr:rowOff>63500</xdr:rowOff>
    </xdr:to>
    <xdr:sp macro="" textlink="">
      <xdr:nvSpPr>
        <xdr:cNvPr id="3" name="Rectangle: Rounded Corners 2">
          <a:extLst>
            <a:ext uri="{FF2B5EF4-FFF2-40B4-BE49-F238E27FC236}">
              <a16:creationId xmlns:a16="http://schemas.microsoft.com/office/drawing/2014/main" id="{D519A55A-8C62-165D-6D16-C746BDD51175}"/>
            </a:ext>
          </a:extLst>
        </xdr:cNvPr>
        <xdr:cNvSpPr/>
      </xdr:nvSpPr>
      <xdr:spPr>
        <a:xfrm>
          <a:off x="0" y="0"/>
          <a:ext cx="1841776" cy="148272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4" name="Group 3">
          <a:extLst>
            <a:ext uri="{FF2B5EF4-FFF2-40B4-BE49-F238E27FC236}">
              <a16:creationId xmlns:a16="http://schemas.microsoft.com/office/drawing/2014/main" id="{BE904FB2-1C62-95E4-102F-BB24BC3EBEE8}"/>
            </a:ext>
          </a:extLst>
        </xdr:cNvPr>
        <xdr:cNvGrpSpPr/>
      </xdr:nvGrpSpPr>
      <xdr:grpSpPr>
        <a:xfrm>
          <a:off x="11239" y="652572"/>
          <a:ext cx="1704895" cy="451333"/>
          <a:chOff x="17891" y="510932"/>
          <a:chExt cx="1724265" cy="444500"/>
        </a:xfrm>
      </xdr:grpSpPr>
      <xdr:sp macro="" textlink="">
        <xdr:nvSpPr>
          <xdr:cNvPr id="257" name="Rectangle: Rounded Corners 256">
            <a:extLst>
              <a:ext uri="{FF2B5EF4-FFF2-40B4-BE49-F238E27FC236}">
                <a16:creationId xmlns:a16="http://schemas.microsoft.com/office/drawing/2014/main" id="{54869583-04CF-D404-6FA7-82D4ADFFE651}"/>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8" name="TextBox 257">
            <a:hlinkClick xmlns:r="http://schemas.openxmlformats.org/officeDocument/2006/relationships" r:id="rId1"/>
            <a:extLst>
              <a:ext uri="{FF2B5EF4-FFF2-40B4-BE49-F238E27FC236}">
                <a16:creationId xmlns:a16="http://schemas.microsoft.com/office/drawing/2014/main" id="{8F4CD2DA-F198-F175-9D6B-CE18F9B067B7}"/>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259" name="Oval 258">
            <a:extLst>
              <a:ext uri="{FF2B5EF4-FFF2-40B4-BE49-F238E27FC236}">
                <a16:creationId xmlns:a16="http://schemas.microsoft.com/office/drawing/2014/main" id="{AAE5764C-EE14-BB75-A844-93457E747CDE}"/>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5" name="Graphic 4" descr="Home with solid fill">
          <a:hlinkClick xmlns:r="http://schemas.openxmlformats.org/officeDocument/2006/relationships" r:id="rId2"/>
          <a:extLst>
            <a:ext uri="{FF2B5EF4-FFF2-40B4-BE49-F238E27FC236}">
              <a16:creationId xmlns:a16="http://schemas.microsoft.com/office/drawing/2014/main" id="{EAA05CDC-05F6-B0AD-B711-28F727E5BF8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6" name="Group 5">
          <a:extLst>
            <a:ext uri="{FF2B5EF4-FFF2-40B4-BE49-F238E27FC236}">
              <a16:creationId xmlns:a16="http://schemas.microsoft.com/office/drawing/2014/main" id="{2784C406-113B-5485-7E02-4EBDB4E183BB}"/>
            </a:ext>
          </a:extLst>
        </xdr:cNvPr>
        <xdr:cNvGrpSpPr/>
      </xdr:nvGrpSpPr>
      <xdr:grpSpPr>
        <a:xfrm>
          <a:off x="10917" y="1127622"/>
          <a:ext cx="1704895" cy="446452"/>
          <a:chOff x="23753" y="989136"/>
          <a:chExt cx="1724265" cy="444500"/>
        </a:xfrm>
      </xdr:grpSpPr>
      <xdr:sp macro="" textlink="">
        <xdr:nvSpPr>
          <xdr:cNvPr id="254" name="Rectangle: Rounded Corners 253">
            <a:extLst>
              <a:ext uri="{FF2B5EF4-FFF2-40B4-BE49-F238E27FC236}">
                <a16:creationId xmlns:a16="http://schemas.microsoft.com/office/drawing/2014/main" id="{08838B6D-C245-5DD5-2445-BF590B89496F}"/>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5" name="TextBox 254">
            <a:hlinkClick xmlns:r="http://schemas.openxmlformats.org/officeDocument/2006/relationships" r:id="rId5"/>
            <a:extLst>
              <a:ext uri="{FF2B5EF4-FFF2-40B4-BE49-F238E27FC236}">
                <a16:creationId xmlns:a16="http://schemas.microsoft.com/office/drawing/2014/main" id="{5E8F6118-DC37-103B-FB7A-8B0EA373975F}"/>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256" name="Oval 255">
            <a:extLst>
              <a:ext uri="{FF2B5EF4-FFF2-40B4-BE49-F238E27FC236}">
                <a16:creationId xmlns:a16="http://schemas.microsoft.com/office/drawing/2014/main" id="{D59A2B69-EA16-D579-FCB5-28C219FF666E}"/>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414839</xdr:rowOff>
    </xdr:from>
    <xdr:to>
      <xdr:col>0</xdr:col>
      <xdr:colOff>1717958</xdr:colOff>
      <xdr:row>6</xdr:row>
      <xdr:rowOff>310201</xdr:rowOff>
    </xdr:to>
    <xdr:grpSp>
      <xdr:nvGrpSpPr>
        <xdr:cNvPr id="7" name="Group 6">
          <a:extLst>
            <a:ext uri="{FF2B5EF4-FFF2-40B4-BE49-F238E27FC236}">
              <a16:creationId xmlns:a16="http://schemas.microsoft.com/office/drawing/2014/main" id="{6EB29730-C049-6BAB-3973-250B14A49901}"/>
            </a:ext>
          </a:extLst>
        </xdr:cNvPr>
        <xdr:cNvGrpSpPr/>
      </xdr:nvGrpSpPr>
      <xdr:grpSpPr>
        <a:xfrm>
          <a:off x="13063" y="2103939"/>
          <a:ext cx="1704895" cy="447812"/>
          <a:chOff x="13593" y="1983238"/>
          <a:chExt cx="1722818" cy="443309"/>
        </a:xfrm>
      </xdr:grpSpPr>
      <xdr:sp macro="" textlink="">
        <xdr:nvSpPr>
          <xdr:cNvPr id="251" name="Rectangle: Rounded Corners 250">
            <a:extLst>
              <a:ext uri="{FF2B5EF4-FFF2-40B4-BE49-F238E27FC236}">
                <a16:creationId xmlns:a16="http://schemas.microsoft.com/office/drawing/2014/main" id="{BC7EF0DE-9705-B423-1AE7-796172F79FB1}"/>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2" name="TextBox 251">
            <a:hlinkClick xmlns:r="http://schemas.openxmlformats.org/officeDocument/2006/relationships" r:id="rId6"/>
            <a:extLst>
              <a:ext uri="{FF2B5EF4-FFF2-40B4-BE49-F238E27FC236}">
                <a16:creationId xmlns:a16="http://schemas.microsoft.com/office/drawing/2014/main" id="{4B77DDC7-3DE2-AC46-951E-156CA6DD0599}"/>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253" name="Oval 252">
            <a:extLst>
              <a:ext uri="{FF2B5EF4-FFF2-40B4-BE49-F238E27FC236}">
                <a16:creationId xmlns:a16="http://schemas.microsoft.com/office/drawing/2014/main" id="{FD935633-0A5B-4C42-E652-9387CBA8E3E5}"/>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331852</xdr:rowOff>
    </xdr:from>
    <xdr:to>
      <xdr:col>0</xdr:col>
      <xdr:colOff>1715516</xdr:colOff>
      <xdr:row>7</xdr:row>
      <xdr:rowOff>225377</xdr:rowOff>
    </xdr:to>
    <xdr:grpSp>
      <xdr:nvGrpSpPr>
        <xdr:cNvPr id="8" name="Group 7">
          <a:extLst>
            <a:ext uri="{FF2B5EF4-FFF2-40B4-BE49-F238E27FC236}">
              <a16:creationId xmlns:a16="http://schemas.microsoft.com/office/drawing/2014/main" id="{8E72AF41-1F56-7F16-D15B-8FA57741FE40}"/>
            </a:ext>
          </a:extLst>
        </xdr:cNvPr>
        <xdr:cNvGrpSpPr/>
      </xdr:nvGrpSpPr>
      <xdr:grpSpPr>
        <a:xfrm>
          <a:off x="12799" y="2573402"/>
          <a:ext cx="1702717" cy="445975"/>
          <a:chOff x="13317" y="2459028"/>
          <a:chExt cx="1720554" cy="441552"/>
        </a:xfrm>
      </xdr:grpSpPr>
      <xdr:sp macro="" textlink="">
        <xdr:nvSpPr>
          <xdr:cNvPr id="124" name="Rectangle: Rounded Corners 123">
            <a:extLst>
              <a:ext uri="{FF2B5EF4-FFF2-40B4-BE49-F238E27FC236}">
                <a16:creationId xmlns:a16="http://schemas.microsoft.com/office/drawing/2014/main" id="{B17562AF-3735-C6A4-5C4E-5A7D8EA14A02}"/>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5" name="TextBox 124">
            <a:hlinkClick xmlns:r="http://schemas.openxmlformats.org/officeDocument/2006/relationships" r:id="rId7"/>
            <a:extLst>
              <a:ext uri="{FF2B5EF4-FFF2-40B4-BE49-F238E27FC236}">
                <a16:creationId xmlns:a16="http://schemas.microsoft.com/office/drawing/2014/main" id="{087028AE-BE78-8A7D-6A5C-47D4174D9DAE}"/>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250" name="Oval 249">
            <a:extLst>
              <a:ext uri="{FF2B5EF4-FFF2-40B4-BE49-F238E27FC236}">
                <a16:creationId xmlns:a16="http://schemas.microsoft.com/office/drawing/2014/main" id="{1AF2F39B-6E50-BA8C-CD9A-11B12B4F5005}"/>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7</xdr:row>
      <xdr:rowOff>239656</xdr:rowOff>
    </xdr:from>
    <xdr:to>
      <xdr:col>0</xdr:col>
      <xdr:colOff>1713076</xdr:colOff>
      <xdr:row>8</xdr:row>
      <xdr:rowOff>330202</xdr:rowOff>
    </xdr:to>
    <xdr:grpSp>
      <xdr:nvGrpSpPr>
        <xdr:cNvPr id="9" name="Group 8">
          <a:extLst>
            <a:ext uri="{FF2B5EF4-FFF2-40B4-BE49-F238E27FC236}">
              <a16:creationId xmlns:a16="http://schemas.microsoft.com/office/drawing/2014/main" id="{64D3078D-A0B5-E3E0-04D5-C1FC6A0726F4}"/>
            </a:ext>
          </a:extLst>
        </xdr:cNvPr>
        <xdr:cNvGrpSpPr/>
      </xdr:nvGrpSpPr>
      <xdr:grpSpPr>
        <a:xfrm>
          <a:off x="8181" y="3033656"/>
          <a:ext cx="1704895" cy="458846"/>
          <a:chOff x="8513" y="2976867"/>
          <a:chExt cx="1722818" cy="451725"/>
        </a:xfrm>
      </xdr:grpSpPr>
      <xdr:sp macro="" textlink="">
        <xdr:nvSpPr>
          <xdr:cNvPr id="120" name="Rectangle: Rounded Corners 119">
            <a:extLst>
              <a:ext uri="{FF2B5EF4-FFF2-40B4-BE49-F238E27FC236}">
                <a16:creationId xmlns:a16="http://schemas.microsoft.com/office/drawing/2014/main" id="{303FA61B-7001-3D9C-0C6B-1CC4E393A3E8}"/>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1" name="TextBox 120">
            <a:hlinkClick xmlns:r="http://schemas.openxmlformats.org/officeDocument/2006/relationships" r:id="rId7"/>
            <a:extLst>
              <a:ext uri="{FF2B5EF4-FFF2-40B4-BE49-F238E27FC236}">
                <a16:creationId xmlns:a16="http://schemas.microsoft.com/office/drawing/2014/main" id="{6EF25418-A5D5-5BB0-CB40-60CFE7217A37}"/>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2" name="Oval 121">
            <a:extLst>
              <a:ext uri="{FF2B5EF4-FFF2-40B4-BE49-F238E27FC236}">
                <a16:creationId xmlns:a16="http://schemas.microsoft.com/office/drawing/2014/main" id="{B2515B39-D5AE-4425-C58B-28AEC64BFFDD}"/>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3" name="TextBox 122">
            <a:hlinkClick xmlns:r="http://schemas.openxmlformats.org/officeDocument/2006/relationships" r:id="rId8"/>
            <a:extLst>
              <a:ext uri="{FF2B5EF4-FFF2-40B4-BE49-F238E27FC236}">
                <a16:creationId xmlns:a16="http://schemas.microsoft.com/office/drawing/2014/main" id="{BA4307AA-0D60-4B1A-3362-7135B924D234}"/>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394214</xdr:rowOff>
    </xdr:to>
    <xdr:grpSp>
      <xdr:nvGrpSpPr>
        <xdr:cNvPr id="10" name="Group 9">
          <a:extLst>
            <a:ext uri="{FF2B5EF4-FFF2-40B4-BE49-F238E27FC236}">
              <a16:creationId xmlns:a16="http://schemas.microsoft.com/office/drawing/2014/main" id="{C12525B0-7BA8-6159-9B7D-C51F80CB39AA}"/>
            </a:ext>
          </a:extLst>
        </xdr:cNvPr>
        <xdr:cNvGrpSpPr/>
      </xdr:nvGrpSpPr>
      <xdr:grpSpPr>
        <a:xfrm>
          <a:off x="11772" y="1596375"/>
          <a:ext cx="1704895" cy="486939"/>
          <a:chOff x="21544" y="1467318"/>
          <a:chExt cx="1724265" cy="477164"/>
        </a:xfrm>
      </xdr:grpSpPr>
      <xdr:sp macro="" textlink="">
        <xdr:nvSpPr>
          <xdr:cNvPr id="117" name="Rectangle: Rounded Corners 116">
            <a:extLst>
              <a:ext uri="{FF2B5EF4-FFF2-40B4-BE49-F238E27FC236}">
                <a16:creationId xmlns:a16="http://schemas.microsoft.com/office/drawing/2014/main" id="{4C3BAB05-BA11-D856-793C-AFAE1AB1CAF1}"/>
              </a:ext>
            </a:extLst>
          </xdr:cNvPr>
          <xdr:cNvSpPr/>
        </xdr:nvSpPr>
        <xdr:spPr>
          <a:xfrm>
            <a:off x="21544" y="1467318"/>
            <a:ext cx="1708150" cy="477164"/>
          </a:xfrm>
          <a:prstGeom prst="roundRect">
            <a:avLst>
              <a:gd name="adj" fmla="val 6708"/>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8" name="TextBox 117">
            <a:hlinkClick xmlns:r="http://schemas.openxmlformats.org/officeDocument/2006/relationships" r:id="rId9"/>
            <a:extLst>
              <a:ext uri="{FF2B5EF4-FFF2-40B4-BE49-F238E27FC236}">
                <a16:creationId xmlns:a16="http://schemas.microsoft.com/office/drawing/2014/main" id="{A1CD4BEA-0C7B-A0B0-6413-9D5495D40ABB}"/>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CIDB               </a:t>
            </a:r>
            <a:endParaRPr lang="en-US" sz="1600">
              <a:solidFill>
                <a:schemeClr val="bg1"/>
              </a:solidFill>
            </a:endParaRPr>
          </a:p>
        </xdr:txBody>
      </xdr:sp>
      <xdr:sp macro="" textlink="">
        <xdr:nvSpPr>
          <xdr:cNvPr id="119" name="Oval 118">
            <a:extLst>
              <a:ext uri="{FF2B5EF4-FFF2-40B4-BE49-F238E27FC236}">
                <a16:creationId xmlns:a16="http://schemas.microsoft.com/office/drawing/2014/main" id="{80F6B824-07C8-CA1A-B925-A2D65481DCD7}"/>
              </a:ext>
            </a:extLst>
          </xdr:cNvPr>
          <xdr:cNvSpPr/>
        </xdr:nvSpPr>
        <xdr:spPr>
          <a:xfrm>
            <a:off x="116000" y="1549969"/>
            <a:ext cx="285750" cy="311008"/>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8</xdr:row>
      <xdr:rowOff>343386</xdr:rowOff>
    </xdr:from>
    <xdr:to>
      <xdr:col>0</xdr:col>
      <xdr:colOff>1713094</xdr:colOff>
      <xdr:row>9</xdr:row>
      <xdr:rowOff>274455</xdr:rowOff>
    </xdr:to>
    <xdr:grpSp>
      <xdr:nvGrpSpPr>
        <xdr:cNvPr id="11" name="Group 10">
          <a:extLst>
            <a:ext uri="{FF2B5EF4-FFF2-40B4-BE49-F238E27FC236}">
              <a16:creationId xmlns:a16="http://schemas.microsoft.com/office/drawing/2014/main" id="{AA5EAE07-0818-6AD0-6808-43453C8B211E}"/>
            </a:ext>
          </a:extLst>
        </xdr:cNvPr>
        <xdr:cNvGrpSpPr/>
      </xdr:nvGrpSpPr>
      <xdr:grpSpPr>
        <a:xfrm>
          <a:off x="8199" y="3505686"/>
          <a:ext cx="1704895" cy="483519"/>
          <a:chOff x="8532" y="3456662"/>
          <a:chExt cx="1722818" cy="482122"/>
        </a:xfrm>
      </xdr:grpSpPr>
      <xdr:sp macro="" textlink="">
        <xdr:nvSpPr>
          <xdr:cNvPr id="113" name="Rectangle: Rounded Corners 112">
            <a:extLst>
              <a:ext uri="{FF2B5EF4-FFF2-40B4-BE49-F238E27FC236}">
                <a16:creationId xmlns:a16="http://schemas.microsoft.com/office/drawing/2014/main" id="{CB39A49D-DE01-D61B-6958-EE91F8528DD4}"/>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4" name="TextBox 113">
            <a:hlinkClick xmlns:r="http://schemas.openxmlformats.org/officeDocument/2006/relationships" r:id="rId10"/>
            <a:extLst>
              <a:ext uri="{FF2B5EF4-FFF2-40B4-BE49-F238E27FC236}">
                <a16:creationId xmlns:a16="http://schemas.microsoft.com/office/drawing/2014/main" id="{4C21C316-188D-19D4-EA1A-F4DEB140E60B}"/>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5" name="Oval 114">
            <a:extLst>
              <a:ext uri="{FF2B5EF4-FFF2-40B4-BE49-F238E27FC236}">
                <a16:creationId xmlns:a16="http://schemas.microsoft.com/office/drawing/2014/main" id="{B640354C-8CA2-934B-4C31-C5799EBDFBC8}"/>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6" name="TextBox 115">
            <a:hlinkClick xmlns:r="http://schemas.openxmlformats.org/officeDocument/2006/relationships" r:id="rId10"/>
            <a:extLst>
              <a:ext uri="{FF2B5EF4-FFF2-40B4-BE49-F238E27FC236}">
                <a16:creationId xmlns:a16="http://schemas.microsoft.com/office/drawing/2014/main" id="{82F9EC02-4704-4A8E-CD3B-6DAEF89556DE}"/>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9</xdr:row>
      <xdr:rowOff>287253</xdr:rowOff>
    </xdr:from>
    <xdr:to>
      <xdr:col>0</xdr:col>
      <xdr:colOff>1713246</xdr:colOff>
      <xdr:row>10</xdr:row>
      <xdr:rowOff>196610</xdr:rowOff>
    </xdr:to>
    <xdr:grpSp>
      <xdr:nvGrpSpPr>
        <xdr:cNvPr id="12" name="Group 11">
          <a:extLst>
            <a:ext uri="{FF2B5EF4-FFF2-40B4-BE49-F238E27FC236}">
              <a16:creationId xmlns:a16="http://schemas.microsoft.com/office/drawing/2014/main" id="{D5E3EF0F-D479-ECF1-9C0C-FE2ECF36ED7D}"/>
            </a:ext>
          </a:extLst>
        </xdr:cNvPr>
        <xdr:cNvGrpSpPr/>
      </xdr:nvGrpSpPr>
      <xdr:grpSpPr>
        <a:xfrm>
          <a:off x="6077" y="4002003"/>
          <a:ext cx="1707169" cy="461807"/>
          <a:chOff x="6323" y="3964228"/>
          <a:chExt cx="1725184" cy="454551"/>
        </a:xfrm>
      </xdr:grpSpPr>
      <xdr:sp macro="" textlink="">
        <xdr:nvSpPr>
          <xdr:cNvPr id="109" name="Rectangle: Rounded Corners 108">
            <a:extLst>
              <a:ext uri="{FF2B5EF4-FFF2-40B4-BE49-F238E27FC236}">
                <a16:creationId xmlns:a16="http://schemas.microsoft.com/office/drawing/2014/main" id="{5E925325-9ABE-5FD0-24D9-FB4B91FF35A3}"/>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0" name="TextBox 109">
            <a:hlinkClick xmlns:r="http://schemas.openxmlformats.org/officeDocument/2006/relationships" r:id="rId11"/>
            <a:extLst>
              <a:ext uri="{FF2B5EF4-FFF2-40B4-BE49-F238E27FC236}">
                <a16:creationId xmlns:a16="http://schemas.microsoft.com/office/drawing/2014/main" id="{6C689964-5FF2-A2D9-9218-056812669117}"/>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1" name="Oval 110">
            <a:extLst>
              <a:ext uri="{FF2B5EF4-FFF2-40B4-BE49-F238E27FC236}">
                <a16:creationId xmlns:a16="http://schemas.microsoft.com/office/drawing/2014/main" id="{82738483-742D-CB66-48B9-1B373C699E89}"/>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2" name="TextBox 111">
            <a:hlinkClick xmlns:r="http://schemas.openxmlformats.org/officeDocument/2006/relationships" r:id="rId11"/>
            <a:extLst>
              <a:ext uri="{FF2B5EF4-FFF2-40B4-BE49-F238E27FC236}">
                <a16:creationId xmlns:a16="http://schemas.microsoft.com/office/drawing/2014/main" id="{AD7FDF35-F725-E6E6-EB01-B80E6C008F44}"/>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10</xdr:row>
      <xdr:rowOff>213840</xdr:rowOff>
    </xdr:from>
    <xdr:to>
      <xdr:col>0</xdr:col>
      <xdr:colOff>1709917</xdr:colOff>
      <xdr:row>11</xdr:row>
      <xdr:rowOff>156008</xdr:rowOff>
    </xdr:to>
    <xdr:grpSp>
      <xdr:nvGrpSpPr>
        <xdr:cNvPr id="13" name="Group 12">
          <a:extLst>
            <a:ext uri="{FF2B5EF4-FFF2-40B4-BE49-F238E27FC236}">
              <a16:creationId xmlns:a16="http://schemas.microsoft.com/office/drawing/2014/main" id="{3E6A555D-4A4B-7384-0FB4-0902A846DBE5}"/>
            </a:ext>
          </a:extLst>
        </xdr:cNvPr>
        <xdr:cNvGrpSpPr/>
      </xdr:nvGrpSpPr>
      <xdr:grpSpPr>
        <a:xfrm>
          <a:off x="2748" y="4481040"/>
          <a:ext cx="1707169" cy="494618"/>
          <a:chOff x="2860" y="4442071"/>
          <a:chExt cx="1725184" cy="485874"/>
        </a:xfrm>
      </xdr:grpSpPr>
      <xdr:sp macro="" textlink="">
        <xdr:nvSpPr>
          <xdr:cNvPr id="105" name="Rectangle: Rounded Corners 104">
            <a:extLst>
              <a:ext uri="{FF2B5EF4-FFF2-40B4-BE49-F238E27FC236}">
                <a16:creationId xmlns:a16="http://schemas.microsoft.com/office/drawing/2014/main" id="{743777CE-FD6C-D8EF-FC23-AC294AE36565}"/>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6" name="TextBox 105">
            <a:hlinkClick xmlns:r="http://schemas.openxmlformats.org/officeDocument/2006/relationships" r:id="rId12"/>
            <a:extLst>
              <a:ext uri="{FF2B5EF4-FFF2-40B4-BE49-F238E27FC236}">
                <a16:creationId xmlns:a16="http://schemas.microsoft.com/office/drawing/2014/main" id="{BD30050D-6D99-E76D-2E60-1E8FB39E4645}"/>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7" name="Oval 106">
            <a:extLst>
              <a:ext uri="{FF2B5EF4-FFF2-40B4-BE49-F238E27FC236}">
                <a16:creationId xmlns:a16="http://schemas.microsoft.com/office/drawing/2014/main" id="{613D78ED-A2DE-6CA5-3B61-8C2BC8C2FF67}"/>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8" name="TextBox 107">
            <a:hlinkClick xmlns:r="http://schemas.openxmlformats.org/officeDocument/2006/relationships" r:id="rId12"/>
            <a:extLst>
              <a:ext uri="{FF2B5EF4-FFF2-40B4-BE49-F238E27FC236}">
                <a16:creationId xmlns:a16="http://schemas.microsoft.com/office/drawing/2014/main" id="{C580B642-0970-C1AE-918E-4A1AEBA05A43}"/>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11</xdr:row>
      <xdr:rowOff>178347</xdr:rowOff>
    </xdr:from>
    <xdr:to>
      <xdr:col>0</xdr:col>
      <xdr:colOff>1709302</xdr:colOff>
      <xdr:row>12</xdr:row>
      <xdr:rowOff>266381</xdr:rowOff>
    </xdr:to>
    <xdr:grpSp>
      <xdr:nvGrpSpPr>
        <xdr:cNvPr id="14" name="Group 13">
          <a:extLst>
            <a:ext uri="{FF2B5EF4-FFF2-40B4-BE49-F238E27FC236}">
              <a16:creationId xmlns:a16="http://schemas.microsoft.com/office/drawing/2014/main" id="{94EA0521-9B9C-9B91-87D9-37474BF95247}"/>
            </a:ext>
          </a:extLst>
        </xdr:cNvPr>
        <xdr:cNvGrpSpPr/>
      </xdr:nvGrpSpPr>
      <xdr:grpSpPr>
        <a:xfrm>
          <a:off x="2133" y="4997997"/>
          <a:ext cx="1707169" cy="456334"/>
          <a:chOff x="2219" y="4949272"/>
          <a:chExt cx="1725184" cy="456170"/>
        </a:xfrm>
      </xdr:grpSpPr>
      <xdr:sp macro="" textlink="">
        <xdr:nvSpPr>
          <xdr:cNvPr id="101" name="Rectangle: Rounded Corners 100">
            <a:extLst>
              <a:ext uri="{FF2B5EF4-FFF2-40B4-BE49-F238E27FC236}">
                <a16:creationId xmlns:a16="http://schemas.microsoft.com/office/drawing/2014/main" id="{E3739634-2366-1478-12EE-8FF86E007B9C}"/>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2" name="TextBox 101">
            <a:hlinkClick xmlns:r="http://schemas.openxmlformats.org/officeDocument/2006/relationships" r:id="rId13"/>
            <a:extLst>
              <a:ext uri="{FF2B5EF4-FFF2-40B4-BE49-F238E27FC236}">
                <a16:creationId xmlns:a16="http://schemas.microsoft.com/office/drawing/2014/main" id="{E9AF1FEC-D392-C9CB-DCB9-D3B5E2497D32}"/>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3" name="Oval 102">
            <a:extLst>
              <a:ext uri="{FF2B5EF4-FFF2-40B4-BE49-F238E27FC236}">
                <a16:creationId xmlns:a16="http://schemas.microsoft.com/office/drawing/2014/main" id="{9DDFD9FC-27B1-B983-04D3-E0ABA141A2BD}"/>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4" name="TextBox 103">
            <a:hlinkClick xmlns:r="http://schemas.openxmlformats.org/officeDocument/2006/relationships" r:id="rId13"/>
            <a:extLst>
              <a:ext uri="{FF2B5EF4-FFF2-40B4-BE49-F238E27FC236}">
                <a16:creationId xmlns:a16="http://schemas.microsoft.com/office/drawing/2014/main" id="{CEBA271D-CA6C-2A2F-D6A2-D7753D906E36}"/>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12</xdr:row>
      <xdr:rowOff>285298</xdr:rowOff>
    </xdr:from>
    <xdr:to>
      <xdr:col>0</xdr:col>
      <xdr:colOff>1709298</xdr:colOff>
      <xdr:row>13</xdr:row>
      <xdr:rowOff>406344</xdr:rowOff>
    </xdr:to>
    <xdr:grpSp>
      <xdr:nvGrpSpPr>
        <xdr:cNvPr id="15" name="Group 14">
          <a:extLst>
            <a:ext uri="{FF2B5EF4-FFF2-40B4-BE49-F238E27FC236}">
              <a16:creationId xmlns:a16="http://schemas.microsoft.com/office/drawing/2014/main" id="{F4758860-87C9-0CD6-2EDA-F0C8AB8A668D}"/>
            </a:ext>
          </a:extLst>
        </xdr:cNvPr>
        <xdr:cNvGrpSpPr/>
      </xdr:nvGrpSpPr>
      <xdr:grpSpPr>
        <a:xfrm>
          <a:off x="2129" y="5473248"/>
          <a:ext cx="1707169" cy="489346"/>
          <a:chOff x="2215" y="5434042"/>
          <a:chExt cx="1725184" cy="486597"/>
        </a:xfrm>
      </xdr:grpSpPr>
      <xdr:sp macro="" textlink="">
        <xdr:nvSpPr>
          <xdr:cNvPr id="97" name="Rectangle: Rounded Corners 96">
            <a:extLst>
              <a:ext uri="{FF2B5EF4-FFF2-40B4-BE49-F238E27FC236}">
                <a16:creationId xmlns:a16="http://schemas.microsoft.com/office/drawing/2014/main" id="{F81678FD-D2A2-2849-2C40-A16D1E124B6E}"/>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8" name="TextBox 97">
            <a:hlinkClick xmlns:r="http://schemas.openxmlformats.org/officeDocument/2006/relationships" r:id="rId14"/>
            <a:extLst>
              <a:ext uri="{FF2B5EF4-FFF2-40B4-BE49-F238E27FC236}">
                <a16:creationId xmlns:a16="http://schemas.microsoft.com/office/drawing/2014/main" id="{81F7BAC4-40B7-A97C-213D-6A47718A7A86}"/>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9" name="Oval 98">
            <a:extLst>
              <a:ext uri="{FF2B5EF4-FFF2-40B4-BE49-F238E27FC236}">
                <a16:creationId xmlns:a16="http://schemas.microsoft.com/office/drawing/2014/main" id="{DE84C754-00AE-1E79-2CC9-A7C5BA73C3C6}"/>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0" name="TextBox 99">
            <a:hlinkClick xmlns:r="http://schemas.openxmlformats.org/officeDocument/2006/relationships" r:id="rId14"/>
            <a:extLst>
              <a:ext uri="{FF2B5EF4-FFF2-40B4-BE49-F238E27FC236}">
                <a16:creationId xmlns:a16="http://schemas.microsoft.com/office/drawing/2014/main" id="{8224505C-2C57-A636-920C-FE28F61D332F}"/>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13</xdr:row>
      <xdr:rowOff>424199</xdr:rowOff>
    </xdr:from>
    <xdr:to>
      <xdr:col>0</xdr:col>
      <xdr:colOff>1709296</xdr:colOff>
      <xdr:row>14</xdr:row>
      <xdr:rowOff>366367</xdr:rowOff>
    </xdr:to>
    <xdr:grpSp>
      <xdr:nvGrpSpPr>
        <xdr:cNvPr id="16" name="Group 15">
          <a:extLst>
            <a:ext uri="{FF2B5EF4-FFF2-40B4-BE49-F238E27FC236}">
              <a16:creationId xmlns:a16="http://schemas.microsoft.com/office/drawing/2014/main" id="{F599C373-25B4-E88D-A040-23B378D121FC}"/>
            </a:ext>
          </a:extLst>
        </xdr:cNvPr>
        <xdr:cNvGrpSpPr/>
      </xdr:nvGrpSpPr>
      <xdr:grpSpPr>
        <a:xfrm>
          <a:off x="2127" y="5980449"/>
          <a:ext cx="1707169" cy="494618"/>
          <a:chOff x="2213" y="5938772"/>
          <a:chExt cx="1725184" cy="485874"/>
        </a:xfrm>
      </xdr:grpSpPr>
      <xdr:sp macro="" textlink="">
        <xdr:nvSpPr>
          <xdr:cNvPr id="93" name="Rectangle: Rounded Corners 92">
            <a:extLst>
              <a:ext uri="{FF2B5EF4-FFF2-40B4-BE49-F238E27FC236}">
                <a16:creationId xmlns:a16="http://schemas.microsoft.com/office/drawing/2014/main" id="{8888C74D-9F36-AF7C-C82E-2DF9DD0ABCFD}"/>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4" name="TextBox 93">
            <a:hlinkClick xmlns:r="http://schemas.openxmlformats.org/officeDocument/2006/relationships" r:id="rId15"/>
            <a:extLst>
              <a:ext uri="{FF2B5EF4-FFF2-40B4-BE49-F238E27FC236}">
                <a16:creationId xmlns:a16="http://schemas.microsoft.com/office/drawing/2014/main" id="{76C0F291-C4EF-195E-DCD9-61F67C0FBC01}"/>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5" name="Oval 94">
            <a:extLst>
              <a:ext uri="{FF2B5EF4-FFF2-40B4-BE49-F238E27FC236}">
                <a16:creationId xmlns:a16="http://schemas.microsoft.com/office/drawing/2014/main" id="{93B0FDF6-6B2C-D5BD-E613-D2FF44FB4DFB}"/>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6" name="TextBox 95">
            <a:hlinkClick xmlns:r="http://schemas.openxmlformats.org/officeDocument/2006/relationships" r:id="rId15"/>
            <a:extLst>
              <a:ext uri="{FF2B5EF4-FFF2-40B4-BE49-F238E27FC236}">
                <a16:creationId xmlns:a16="http://schemas.microsoft.com/office/drawing/2014/main" id="{60A33EFB-05B3-1E08-E31F-702618C900D8}"/>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15</xdr:row>
      <xdr:rowOff>17857</xdr:rowOff>
    </xdr:from>
    <xdr:to>
      <xdr:col>0</xdr:col>
      <xdr:colOff>1708011</xdr:colOff>
      <xdr:row>16</xdr:row>
      <xdr:rowOff>106681</xdr:rowOff>
    </xdr:to>
    <xdr:grpSp>
      <xdr:nvGrpSpPr>
        <xdr:cNvPr id="17" name="Group 16">
          <a:extLst>
            <a:ext uri="{FF2B5EF4-FFF2-40B4-BE49-F238E27FC236}">
              <a16:creationId xmlns:a16="http://schemas.microsoft.com/office/drawing/2014/main" id="{6FDF802F-56FD-610D-AE95-F05D6597C4AF}"/>
            </a:ext>
          </a:extLst>
        </xdr:cNvPr>
        <xdr:cNvGrpSpPr/>
      </xdr:nvGrpSpPr>
      <xdr:grpSpPr>
        <a:xfrm>
          <a:off x="842" y="6494857"/>
          <a:ext cx="1707169" cy="457124"/>
          <a:chOff x="876" y="6443539"/>
          <a:chExt cx="1725184" cy="456924"/>
        </a:xfrm>
      </xdr:grpSpPr>
      <xdr:sp macro="" textlink="">
        <xdr:nvSpPr>
          <xdr:cNvPr id="89" name="Rectangle: Rounded Corners 88">
            <a:extLst>
              <a:ext uri="{FF2B5EF4-FFF2-40B4-BE49-F238E27FC236}">
                <a16:creationId xmlns:a16="http://schemas.microsoft.com/office/drawing/2014/main" id="{DEF2A5EA-48BB-26A2-2E79-E6DC32CB7A5A}"/>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0" name="TextBox 89">
            <a:hlinkClick xmlns:r="http://schemas.openxmlformats.org/officeDocument/2006/relationships" r:id="rId16"/>
            <a:extLst>
              <a:ext uri="{FF2B5EF4-FFF2-40B4-BE49-F238E27FC236}">
                <a16:creationId xmlns:a16="http://schemas.microsoft.com/office/drawing/2014/main" id="{1886FC09-CE9B-8123-7BD7-E8EF4D00121A}"/>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1" name="Oval 90">
            <a:extLst>
              <a:ext uri="{FF2B5EF4-FFF2-40B4-BE49-F238E27FC236}">
                <a16:creationId xmlns:a16="http://schemas.microsoft.com/office/drawing/2014/main" id="{27567E93-2F42-3EC9-E148-2C826CF56B25}"/>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2" name="TextBox 91">
            <a:hlinkClick xmlns:r="http://schemas.openxmlformats.org/officeDocument/2006/relationships" r:id="rId16"/>
            <a:extLst>
              <a:ext uri="{FF2B5EF4-FFF2-40B4-BE49-F238E27FC236}">
                <a16:creationId xmlns:a16="http://schemas.microsoft.com/office/drawing/2014/main" id="{04C764EC-322C-F5CC-EDD9-DFB23EABE28C}"/>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17</xdr:row>
      <xdr:rowOff>266343</xdr:rowOff>
    </xdr:from>
    <xdr:to>
      <xdr:col>0</xdr:col>
      <xdr:colOff>1708946</xdr:colOff>
      <xdr:row>18</xdr:row>
      <xdr:rowOff>179136</xdr:rowOff>
    </xdr:to>
    <xdr:grpSp>
      <xdr:nvGrpSpPr>
        <xdr:cNvPr id="18" name="Group 17">
          <a:extLst>
            <a:ext uri="{FF2B5EF4-FFF2-40B4-BE49-F238E27FC236}">
              <a16:creationId xmlns:a16="http://schemas.microsoft.com/office/drawing/2014/main" id="{E64095CB-AA35-AF7B-4F8A-39569A8A8648}"/>
            </a:ext>
          </a:extLst>
        </xdr:cNvPr>
        <xdr:cNvGrpSpPr/>
      </xdr:nvGrpSpPr>
      <xdr:grpSpPr>
        <a:xfrm>
          <a:off x="1777" y="7479943"/>
          <a:ext cx="1707169" cy="465243"/>
          <a:chOff x="1849" y="7421500"/>
          <a:chExt cx="1725184" cy="457832"/>
        </a:xfrm>
      </xdr:grpSpPr>
      <xdr:sp macro="" textlink="">
        <xdr:nvSpPr>
          <xdr:cNvPr id="85" name="Rectangle: Rounded Corners 84">
            <a:extLst>
              <a:ext uri="{FF2B5EF4-FFF2-40B4-BE49-F238E27FC236}">
                <a16:creationId xmlns:a16="http://schemas.microsoft.com/office/drawing/2014/main" id="{63DC6369-4F57-2856-A2D4-7DEB21D5E7D6}"/>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6" name="TextBox 85">
            <a:hlinkClick xmlns:r="http://schemas.openxmlformats.org/officeDocument/2006/relationships" r:id="rId17"/>
            <a:extLst>
              <a:ext uri="{FF2B5EF4-FFF2-40B4-BE49-F238E27FC236}">
                <a16:creationId xmlns:a16="http://schemas.microsoft.com/office/drawing/2014/main" id="{1413E2B4-D876-70FD-CA71-DB9DCF1B295C}"/>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7" name="Oval 86">
            <a:extLst>
              <a:ext uri="{FF2B5EF4-FFF2-40B4-BE49-F238E27FC236}">
                <a16:creationId xmlns:a16="http://schemas.microsoft.com/office/drawing/2014/main" id="{5AAAA999-0217-7698-3374-45DB542164E1}"/>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8" name="TextBox 87">
            <a:hlinkClick xmlns:r="http://schemas.openxmlformats.org/officeDocument/2006/relationships" r:id="rId17"/>
            <a:extLst>
              <a:ext uri="{FF2B5EF4-FFF2-40B4-BE49-F238E27FC236}">
                <a16:creationId xmlns:a16="http://schemas.microsoft.com/office/drawing/2014/main" id="{7E4CB206-C12C-A8F0-5F7D-74C091E6EB04}"/>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18</xdr:row>
      <xdr:rowOff>206684</xdr:rowOff>
    </xdr:from>
    <xdr:to>
      <xdr:col>0</xdr:col>
      <xdr:colOff>1710873</xdr:colOff>
      <xdr:row>19</xdr:row>
      <xdr:rowOff>142679</xdr:rowOff>
    </xdr:to>
    <xdr:grpSp>
      <xdr:nvGrpSpPr>
        <xdr:cNvPr id="19" name="Group 18">
          <a:extLst>
            <a:ext uri="{FF2B5EF4-FFF2-40B4-BE49-F238E27FC236}">
              <a16:creationId xmlns:a16="http://schemas.microsoft.com/office/drawing/2014/main" id="{E072C376-EEFC-A75E-2DAB-EC71D4B2AA64}"/>
            </a:ext>
          </a:extLst>
        </xdr:cNvPr>
        <xdr:cNvGrpSpPr/>
      </xdr:nvGrpSpPr>
      <xdr:grpSpPr>
        <a:xfrm>
          <a:off x="3704" y="7972734"/>
          <a:ext cx="1707169" cy="488445"/>
          <a:chOff x="3854" y="7898602"/>
          <a:chExt cx="1725184" cy="486825"/>
        </a:xfrm>
      </xdr:grpSpPr>
      <xdr:sp macro="" textlink="">
        <xdr:nvSpPr>
          <xdr:cNvPr id="81" name="Rectangle: Rounded Corners 80">
            <a:extLst>
              <a:ext uri="{FF2B5EF4-FFF2-40B4-BE49-F238E27FC236}">
                <a16:creationId xmlns:a16="http://schemas.microsoft.com/office/drawing/2014/main" id="{C7B7B1C1-27C9-A41F-D79F-2FD5C930768E}"/>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2" name="TextBox 81">
            <a:hlinkClick xmlns:r="http://schemas.openxmlformats.org/officeDocument/2006/relationships" r:id="rId18"/>
            <a:extLst>
              <a:ext uri="{FF2B5EF4-FFF2-40B4-BE49-F238E27FC236}">
                <a16:creationId xmlns:a16="http://schemas.microsoft.com/office/drawing/2014/main" id="{9B129E42-8482-BD05-F4F6-4F525A9DAB1A}"/>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3" name="Oval 82">
            <a:extLst>
              <a:ext uri="{FF2B5EF4-FFF2-40B4-BE49-F238E27FC236}">
                <a16:creationId xmlns:a16="http://schemas.microsoft.com/office/drawing/2014/main" id="{3C91A4CD-4B77-EC75-2EA6-48A7F2011DDA}"/>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4" name="TextBox 83">
            <a:hlinkClick xmlns:r="http://schemas.openxmlformats.org/officeDocument/2006/relationships" r:id="rId18"/>
            <a:extLst>
              <a:ext uri="{FF2B5EF4-FFF2-40B4-BE49-F238E27FC236}">
                <a16:creationId xmlns:a16="http://schemas.microsoft.com/office/drawing/2014/main" id="{83D9EDEB-601F-0859-4F0D-E82E90E15370}"/>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19</xdr:row>
      <xdr:rowOff>166785</xdr:rowOff>
    </xdr:from>
    <xdr:to>
      <xdr:col>0</xdr:col>
      <xdr:colOff>1712157</xdr:colOff>
      <xdr:row>20</xdr:row>
      <xdr:rowOff>77067</xdr:rowOff>
    </xdr:to>
    <xdr:grpSp>
      <xdr:nvGrpSpPr>
        <xdr:cNvPr id="20" name="Group 19">
          <a:extLst>
            <a:ext uri="{FF2B5EF4-FFF2-40B4-BE49-F238E27FC236}">
              <a16:creationId xmlns:a16="http://schemas.microsoft.com/office/drawing/2014/main" id="{7D81BFE3-86CB-DF8F-9C1A-98A13CDA2486}"/>
            </a:ext>
          </a:extLst>
        </xdr:cNvPr>
        <xdr:cNvGrpSpPr/>
      </xdr:nvGrpSpPr>
      <xdr:grpSpPr>
        <a:xfrm>
          <a:off x="4988" y="8485285"/>
          <a:ext cx="1707169" cy="462732"/>
          <a:chOff x="5190" y="8408439"/>
          <a:chExt cx="1725184" cy="455434"/>
        </a:xfrm>
      </xdr:grpSpPr>
      <xdr:sp macro="" textlink="">
        <xdr:nvSpPr>
          <xdr:cNvPr id="77" name="Rectangle: Rounded Corners 76">
            <a:extLst>
              <a:ext uri="{FF2B5EF4-FFF2-40B4-BE49-F238E27FC236}">
                <a16:creationId xmlns:a16="http://schemas.microsoft.com/office/drawing/2014/main" id="{8EE60516-94CB-F1DD-1632-BA01D2E48E8B}"/>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8" name="TextBox 77">
            <a:hlinkClick xmlns:r="http://schemas.openxmlformats.org/officeDocument/2006/relationships" r:id="rId19"/>
            <a:extLst>
              <a:ext uri="{FF2B5EF4-FFF2-40B4-BE49-F238E27FC236}">
                <a16:creationId xmlns:a16="http://schemas.microsoft.com/office/drawing/2014/main" id="{23BBF05F-230F-90C3-308D-8C0EB27F0592}"/>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9" name="Oval 78">
            <a:extLst>
              <a:ext uri="{FF2B5EF4-FFF2-40B4-BE49-F238E27FC236}">
                <a16:creationId xmlns:a16="http://schemas.microsoft.com/office/drawing/2014/main" id="{148AC9F9-EEB5-1E74-C924-5F97927EB5EA}"/>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0" name="TextBox 79">
            <a:hlinkClick xmlns:r="http://schemas.openxmlformats.org/officeDocument/2006/relationships" r:id="rId19"/>
            <a:extLst>
              <a:ext uri="{FF2B5EF4-FFF2-40B4-BE49-F238E27FC236}">
                <a16:creationId xmlns:a16="http://schemas.microsoft.com/office/drawing/2014/main" id="{95231360-F9F2-39FB-3106-0406B97AABC6}"/>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20</xdr:row>
      <xdr:rowOff>89855</xdr:rowOff>
    </xdr:from>
    <xdr:to>
      <xdr:col>0</xdr:col>
      <xdr:colOff>1713207</xdr:colOff>
      <xdr:row>21</xdr:row>
      <xdr:rowOff>25282</xdr:rowOff>
    </xdr:to>
    <xdr:grpSp>
      <xdr:nvGrpSpPr>
        <xdr:cNvPr id="21" name="Group 20">
          <a:extLst>
            <a:ext uri="{FF2B5EF4-FFF2-40B4-BE49-F238E27FC236}">
              <a16:creationId xmlns:a16="http://schemas.microsoft.com/office/drawing/2014/main" id="{B8860527-9412-271E-8863-E1C5443E1D8D}"/>
            </a:ext>
          </a:extLst>
        </xdr:cNvPr>
        <xdr:cNvGrpSpPr/>
      </xdr:nvGrpSpPr>
      <xdr:grpSpPr>
        <a:xfrm>
          <a:off x="6038" y="8960805"/>
          <a:ext cx="1707169" cy="487877"/>
          <a:chOff x="6283" y="8882925"/>
          <a:chExt cx="1725184" cy="479438"/>
        </a:xfrm>
      </xdr:grpSpPr>
      <xdr:sp macro="" textlink="">
        <xdr:nvSpPr>
          <xdr:cNvPr id="73" name="Rectangle: Rounded Corners 72">
            <a:extLst>
              <a:ext uri="{FF2B5EF4-FFF2-40B4-BE49-F238E27FC236}">
                <a16:creationId xmlns:a16="http://schemas.microsoft.com/office/drawing/2014/main" id="{66ADA901-28CA-50FE-C951-FDBB7D0D85CC}"/>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4" name="TextBox 73">
            <a:hlinkClick xmlns:r="http://schemas.openxmlformats.org/officeDocument/2006/relationships" r:id="rId20"/>
            <a:extLst>
              <a:ext uri="{FF2B5EF4-FFF2-40B4-BE49-F238E27FC236}">
                <a16:creationId xmlns:a16="http://schemas.microsoft.com/office/drawing/2014/main" id="{9499EF70-D120-AB8F-6D32-D87791E974FB}"/>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5" name="Oval 74">
            <a:extLst>
              <a:ext uri="{FF2B5EF4-FFF2-40B4-BE49-F238E27FC236}">
                <a16:creationId xmlns:a16="http://schemas.microsoft.com/office/drawing/2014/main" id="{01C729B9-84BF-3157-F4F4-762860936F7C}"/>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6" name="TextBox 75">
            <a:hlinkClick xmlns:r="http://schemas.openxmlformats.org/officeDocument/2006/relationships" r:id="rId20"/>
            <a:extLst>
              <a:ext uri="{FF2B5EF4-FFF2-40B4-BE49-F238E27FC236}">
                <a16:creationId xmlns:a16="http://schemas.microsoft.com/office/drawing/2014/main" id="{A2247643-EA11-6AAB-E5F8-094638D45DE2}"/>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21</xdr:row>
      <xdr:rowOff>550490</xdr:rowOff>
    </xdr:from>
    <xdr:to>
      <xdr:col>0</xdr:col>
      <xdr:colOff>1711774</xdr:colOff>
      <xdr:row>23</xdr:row>
      <xdr:rowOff>96253</xdr:rowOff>
    </xdr:to>
    <xdr:grpSp>
      <xdr:nvGrpSpPr>
        <xdr:cNvPr id="22" name="Group 21">
          <a:extLst>
            <a:ext uri="{FF2B5EF4-FFF2-40B4-BE49-F238E27FC236}">
              <a16:creationId xmlns:a16="http://schemas.microsoft.com/office/drawing/2014/main" id="{3399C884-3F80-21EA-2EDC-95871455837E}"/>
            </a:ext>
          </a:extLst>
        </xdr:cNvPr>
        <xdr:cNvGrpSpPr/>
      </xdr:nvGrpSpPr>
      <xdr:grpSpPr>
        <a:xfrm>
          <a:off x="4605" y="9973890"/>
          <a:ext cx="1707169" cy="466513"/>
          <a:chOff x="4792" y="9884285"/>
          <a:chExt cx="1725184" cy="459044"/>
        </a:xfrm>
      </xdr:grpSpPr>
      <xdr:sp macro="" textlink="">
        <xdr:nvSpPr>
          <xdr:cNvPr id="69" name="Rectangle: Rounded Corners 68">
            <a:extLst>
              <a:ext uri="{FF2B5EF4-FFF2-40B4-BE49-F238E27FC236}">
                <a16:creationId xmlns:a16="http://schemas.microsoft.com/office/drawing/2014/main" id="{22140EBC-C2B7-4C93-F07A-E8B250EF2BC2}"/>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0" name="TextBox 69">
            <a:hlinkClick xmlns:r="http://schemas.openxmlformats.org/officeDocument/2006/relationships" r:id="rId21"/>
            <a:extLst>
              <a:ext uri="{FF2B5EF4-FFF2-40B4-BE49-F238E27FC236}">
                <a16:creationId xmlns:a16="http://schemas.microsoft.com/office/drawing/2014/main" id="{48281ADC-29E8-F8A4-FAE6-CA47DA7B4CF9}"/>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1" name="Oval 70">
            <a:extLst>
              <a:ext uri="{FF2B5EF4-FFF2-40B4-BE49-F238E27FC236}">
                <a16:creationId xmlns:a16="http://schemas.microsoft.com/office/drawing/2014/main" id="{B32EC2E5-030F-F198-26CB-84BAC31A1A6B}"/>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2" name="TextBox 71">
            <a:hlinkClick xmlns:r="http://schemas.openxmlformats.org/officeDocument/2006/relationships" r:id="rId21"/>
            <a:extLst>
              <a:ext uri="{FF2B5EF4-FFF2-40B4-BE49-F238E27FC236}">
                <a16:creationId xmlns:a16="http://schemas.microsoft.com/office/drawing/2014/main" id="{0D9B45B9-84F1-9FB9-366D-9F1B2FCC250B}"/>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21</xdr:row>
      <xdr:rowOff>43265</xdr:rowOff>
    </xdr:from>
    <xdr:to>
      <xdr:col>0</xdr:col>
      <xdr:colOff>1712537</xdr:colOff>
      <xdr:row>21</xdr:row>
      <xdr:rowOff>526211</xdr:rowOff>
    </xdr:to>
    <xdr:grpSp>
      <xdr:nvGrpSpPr>
        <xdr:cNvPr id="23" name="Group 22">
          <a:extLst>
            <a:ext uri="{FF2B5EF4-FFF2-40B4-BE49-F238E27FC236}">
              <a16:creationId xmlns:a16="http://schemas.microsoft.com/office/drawing/2014/main" id="{525E4700-D0B6-2694-AE5A-A11D2787412C}"/>
            </a:ext>
          </a:extLst>
        </xdr:cNvPr>
        <xdr:cNvGrpSpPr/>
      </xdr:nvGrpSpPr>
      <xdr:grpSpPr>
        <a:xfrm>
          <a:off x="5368" y="9466665"/>
          <a:ext cx="1707169" cy="482946"/>
          <a:chOff x="5586" y="9379532"/>
          <a:chExt cx="1725184" cy="481576"/>
        </a:xfrm>
      </xdr:grpSpPr>
      <xdr:sp macro="" textlink="">
        <xdr:nvSpPr>
          <xdr:cNvPr id="65" name="Rectangle: Rounded Corners 64">
            <a:extLst>
              <a:ext uri="{FF2B5EF4-FFF2-40B4-BE49-F238E27FC236}">
                <a16:creationId xmlns:a16="http://schemas.microsoft.com/office/drawing/2014/main" id="{527C1021-8C36-710A-B341-60ABB4D1CBB7}"/>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6" name="TextBox 65">
            <a:hlinkClick xmlns:r="http://schemas.openxmlformats.org/officeDocument/2006/relationships" r:id="rId22"/>
            <a:extLst>
              <a:ext uri="{FF2B5EF4-FFF2-40B4-BE49-F238E27FC236}">
                <a16:creationId xmlns:a16="http://schemas.microsoft.com/office/drawing/2014/main" id="{C0C96C7C-4D78-5E0B-7A5A-723898632301}"/>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7" name="Oval 66">
            <a:extLst>
              <a:ext uri="{FF2B5EF4-FFF2-40B4-BE49-F238E27FC236}">
                <a16:creationId xmlns:a16="http://schemas.microsoft.com/office/drawing/2014/main" id="{C121E393-453B-45F1-6154-5F97BFF7CB13}"/>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8" name="TextBox 67">
            <a:hlinkClick xmlns:r="http://schemas.openxmlformats.org/officeDocument/2006/relationships" r:id="rId22"/>
            <a:extLst>
              <a:ext uri="{FF2B5EF4-FFF2-40B4-BE49-F238E27FC236}">
                <a16:creationId xmlns:a16="http://schemas.microsoft.com/office/drawing/2014/main" id="{601892E9-913D-1300-15E9-B11A3C2F77D6}"/>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23</xdr:row>
      <xdr:rowOff>104652</xdr:rowOff>
    </xdr:from>
    <xdr:to>
      <xdr:col>0</xdr:col>
      <xdr:colOff>1711005</xdr:colOff>
      <xdr:row>24</xdr:row>
      <xdr:rowOff>231599</xdr:rowOff>
    </xdr:to>
    <xdr:grpSp>
      <xdr:nvGrpSpPr>
        <xdr:cNvPr id="24" name="Group 23">
          <a:extLst>
            <a:ext uri="{FF2B5EF4-FFF2-40B4-BE49-F238E27FC236}">
              <a16:creationId xmlns:a16="http://schemas.microsoft.com/office/drawing/2014/main" id="{F2CACD47-3DBB-D171-9B56-5C7920593949}"/>
            </a:ext>
          </a:extLst>
        </xdr:cNvPr>
        <xdr:cNvGrpSpPr/>
      </xdr:nvGrpSpPr>
      <xdr:grpSpPr>
        <a:xfrm>
          <a:off x="3836" y="10448802"/>
          <a:ext cx="1707169" cy="495247"/>
          <a:chOff x="3992" y="10358190"/>
          <a:chExt cx="1725184" cy="486476"/>
        </a:xfrm>
      </xdr:grpSpPr>
      <xdr:sp macro="" textlink="">
        <xdr:nvSpPr>
          <xdr:cNvPr id="61" name="Rectangle: Rounded Corners 60">
            <a:extLst>
              <a:ext uri="{FF2B5EF4-FFF2-40B4-BE49-F238E27FC236}">
                <a16:creationId xmlns:a16="http://schemas.microsoft.com/office/drawing/2014/main" id="{46B0C0B4-F74A-E66D-D8FA-93C401AA3700}"/>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2" name="TextBox 61">
            <a:hlinkClick xmlns:r="http://schemas.openxmlformats.org/officeDocument/2006/relationships" r:id="rId23"/>
            <a:extLst>
              <a:ext uri="{FF2B5EF4-FFF2-40B4-BE49-F238E27FC236}">
                <a16:creationId xmlns:a16="http://schemas.microsoft.com/office/drawing/2014/main" id="{6D2DA129-8627-7C42-94D4-DFC6F16FCD5C}"/>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3" name="Oval 62">
            <a:extLst>
              <a:ext uri="{FF2B5EF4-FFF2-40B4-BE49-F238E27FC236}">
                <a16:creationId xmlns:a16="http://schemas.microsoft.com/office/drawing/2014/main" id="{CB994C9B-8F08-98AC-3DE6-04288ED44300}"/>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4" name="TextBox 63">
            <a:hlinkClick xmlns:r="http://schemas.openxmlformats.org/officeDocument/2006/relationships" r:id="rId23"/>
            <a:extLst>
              <a:ext uri="{FF2B5EF4-FFF2-40B4-BE49-F238E27FC236}">
                <a16:creationId xmlns:a16="http://schemas.microsoft.com/office/drawing/2014/main" id="{2ADC6D8B-F5EB-756E-9D33-CBAE487E54FD}"/>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24</xdr:row>
      <xdr:rowOff>248916</xdr:rowOff>
    </xdr:from>
    <xdr:to>
      <xdr:col>0</xdr:col>
      <xdr:colOff>1712668</xdr:colOff>
      <xdr:row>25</xdr:row>
      <xdr:rowOff>152044</xdr:rowOff>
    </xdr:to>
    <xdr:grpSp>
      <xdr:nvGrpSpPr>
        <xdr:cNvPr id="26" name="Group 25">
          <a:extLst>
            <a:ext uri="{FF2B5EF4-FFF2-40B4-BE49-F238E27FC236}">
              <a16:creationId xmlns:a16="http://schemas.microsoft.com/office/drawing/2014/main" id="{C19ADA97-4FD3-6FBF-687A-0B5B0F435CF0}"/>
            </a:ext>
          </a:extLst>
        </xdr:cNvPr>
        <xdr:cNvGrpSpPr/>
      </xdr:nvGrpSpPr>
      <xdr:grpSpPr>
        <a:xfrm>
          <a:off x="5499" y="10961366"/>
          <a:ext cx="1707169" cy="455578"/>
          <a:chOff x="5723" y="10874564"/>
          <a:chExt cx="1725184" cy="455447"/>
        </a:xfrm>
      </xdr:grpSpPr>
      <xdr:sp macro="" textlink="">
        <xdr:nvSpPr>
          <xdr:cNvPr id="53" name="Rectangle: Rounded Corners 52">
            <a:extLst>
              <a:ext uri="{FF2B5EF4-FFF2-40B4-BE49-F238E27FC236}">
                <a16:creationId xmlns:a16="http://schemas.microsoft.com/office/drawing/2014/main" id="{888970DC-E1C8-0EF4-E136-107023E86451}"/>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4" name="TextBox 53">
            <a:hlinkClick xmlns:r="http://schemas.openxmlformats.org/officeDocument/2006/relationships" r:id="rId24"/>
            <a:extLst>
              <a:ext uri="{FF2B5EF4-FFF2-40B4-BE49-F238E27FC236}">
                <a16:creationId xmlns:a16="http://schemas.microsoft.com/office/drawing/2014/main" id="{A6C0C564-F7B5-2AE6-1D04-BA0AD798B7CB}"/>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5" name="Oval 54">
            <a:extLst>
              <a:ext uri="{FF2B5EF4-FFF2-40B4-BE49-F238E27FC236}">
                <a16:creationId xmlns:a16="http://schemas.microsoft.com/office/drawing/2014/main" id="{B5A88E33-6266-5E44-689C-D3EB054289F6}"/>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6" name="TextBox 55">
            <a:hlinkClick xmlns:r="http://schemas.openxmlformats.org/officeDocument/2006/relationships" r:id="rId24"/>
            <a:extLst>
              <a:ext uri="{FF2B5EF4-FFF2-40B4-BE49-F238E27FC236}">
                <a16:creationId xmlns:a16="http://schemas.microsoft.com/office/drawing/2014/main" id="{01B85E92-F8AD-D35C-155C-E73E3A3C43C4}"/>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25</xdr:row>
      <xdr:rowOff>170882</xdr:rowOff>
    </xdr:from>
    <xdr:to>
      <xdr:col>0</xdr:col>
      <xdr:colOff>1711471</xdr:colOff>
      <xdr:row>26</xdr:row>
      <xdr:rowOff>291059</xdr:rowOff>
    </xdr:to>
    <xdr:grpSp>
      <xdr:nvGrpSpPr>
        <xdr:cNvPr id="27" name="Group 26">
          <a:extLst>
            <a:ext uri="{FF2B5EF4-FFF2-40B4-BE49-F238E27FC236}">
              <a16:creationId xmlns:a16="http://schemas.microsoft.com/office/drawing/2014/main" id="{DD6EA99B-ECD2-9A08-563B-9E126739E0D7}"/>
            </a:ext>
          </a:extLst>
        </xdr:cNvPr>
        <xdr:cNvGrpSpPr/>
      </xdr:nvGrpSpPr>
      <xdr:grpSpPr>
        <a:xfrm>
          <a:off x="4302" y="11435782"/>
          <a:ext cx="1707169" cy="488477"/>
          <a:chOff x="4477" y="11347997"/>
          <a:chExt cx="1725184" cy="480012"/>
        </a:xfrm>
      </xdr:grpSpPr>
      <xdr:sp macro="" textlink="">
        <xdr:nvSpPr>
          <xdr:cNvPr id="49" name="Rectangle: Rounded Corners 48">
            <a:extLst>
              <a:ext uri="{FF2B5EF4-FFF2-40B4-BE49-F238E27FC236}">
                <a16:creationId xmlns:a16="http://schemas.microsoft.com/office/drawing/2014/main" id="{1FA01EC5-5CC1-FB40-3CF0-32A55D75E293}"/>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0" name="TextBox 49">
            <a:hlinkClick xmlns:r="http://schemas.openxmlformats.org/officeDocument/2006/relationships" r:id="rId25"/>
            <a:extLst>
              <a:ext uri="{FF2B5EF4-FFF2-40B4-BE49-F238E27FC236}">
                <a16:creationId xmlns:a16="http://schemas.microsoft.com/office/drawing/2014/main" id="{99DB59B0-14E7-3C20-8C23-11A3AA3CBD92}"/>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1" name="Oval 50">
            <a:extLst>
              <a:ext uri="{FF2B5EF4-FFF2-40B4-BE49-F238E27FC236}">
                <a16:creationId xmlns:a16="http://schemas.microsoft.com/office/drawing/2014/main" id="{3358D9DA-98EA-DDDB-82F3-9C0A121B472E}"/>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2" name="TextBox 51">
            <a:hlinkClick xmlns:r="http://schemas.openxmlformats.org/officeDocument/2006/relationships" r:id="rId25"/>
            <a:extLst>
              <a:ext uri="{FF2B5EF4-FFF2-40B4-BE49-F238E27FC236}">
                <a16:creationId xmlns:a16="http://schemas.microsoft.com/office/drawing/2014/main" id="{4DAE1146-809D-503B-4089-BAE4DDEA6F7E}"/>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16</xdr:row>
      <xdr:rowOff>125747</xdr:rowOff>
    </xdr:from>
    <xdr:to>
      <xdr:col>0</xdr:col>
      <xdr:colOff>1707169</xdr:colOff>
      <xdr:row>17</xdr:row>
      <xdr:rowOff>242866</xdr:rowOff>
    </xdr:to>
    <xdr:grpSp>
      <xdr:nvGrpSpPr>
        <xdr:cNvPr id="28" name="Group 27">
          <a:extLst>
            <a:ext uri="{FF2B5EF4-FFF2-40B4-BE49-F238E27FC236}">
              <a16:creationId xmlns:a16="http://schemas.microsoft.com/office/drawing/2014/main" id="{7991067F-AF08-197D-A1F5-1AB0575DB0A8}"/>
            </a:ext>
          </a:extLst>
        </xdr:cNvPr>
        <xdr:cNvGrpSpPr/>
      </xdr:nvGrpSpPr>
      <xdr:grpSpPr>
        <a:xfrm>
          <a:off x="0" y="6971047"/>
          <a:ext cx="1707169" cy="485419"/>
          <a:chOff x="0" y="6922179"/>
          <a:chExt cx="1725184" cy="482848"/>
        </a:xfrm>
      </xdr:grpSpPr>
      <xdr:sp macro="" textlink="">
        <xdr:nvSpPr>
          <xdr:cNvPr id="45" name="Rectangle: Rounded Corners 44">
            <a:extLst>
              <a:ext uri="{FF2B5EF4-FFF2-40B4-BE49-F238E27FC236}">
                <a16:creationId xmlns:a16="http://schemas.microsoft.com/office/drawing/2014/main" id="{12B157FF-EEBD-2954-4AB5-EDD1FF771DB5}"/>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6" name="TextBox 45">
            <a:hlinkClick xmlns:r="http://schemas.openxmlformats.org/officeDocument/2006/relationships" r:id="rId16"/>
            <a:extLst>
              <a:ext uri="{FF2B5EF4-FFF2-40B4-BE49-F238E27FC236}">
                <a16:creationId xmlns:a16="http://schemas.microsoft.com/office/drawing/2014/main" id="{289A21E4-CDAE-8B63-4036-B6A1F4F0FCDC}"/>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7" name="Oval 46">
            <a:extLst>
              <a:ext uri="{FF2B5EF4-FFF2-40B4-BE49-F238E27FC236}">
                <a16:creationId xmlns:a16="http://schemas.microsoft.com/office/drawing/2014/main" id="{D44103F6-98DF-3DB1-8709-5A85ED0180B5}"/>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8" name="TextBox 47">
            <a:hlinkClick xmlns:r="http://schemas.openxmlformats.org/officeDocument/2006/relationships" r:id="rId26"/>
            <a:extLst>
              <a:ext uri="{FF2B5EF4-FFF2-40B4-BE49-F238E27FC236}">
                <a16:creationId xmlns:a16="http://schemas.microsoft.com/office/drawing/2014/main" id="{2C5D7747-0417-B7A7-7F3E-09F5999675E3}"/>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26</xdr:row>
      <xdr:rowOff>303604</xdr:rowOff>
    </xdr:from>
    <xdr:to>
      <xdr:col>0</xdr:col>
      <xdr:colOff>1711953</xdr:colOff>
      <xdr:row>27</xdr:row>
      <xdr:rowOff>239631</xdr:rowOff>
    </xdr:to>
    <xdr:grpSp>
      <xdr:nvGrpSpPr>
        <xdr:cNvPr id="31" name="Group 30">
          <a:extLst>
            <a:ext uri="{FF2B5EF4-FFF2-40B4-BE49-F238E27FC236}">
              <a16:creationId xmlns:a16="http://schemas.microsoft.com/office/drawing/2014/main" id="{20ECE213-0E8D-59F2-7185-B4A56702DA00}"/>
            </a:ext>
          </a:extLst>
        </xdr:cNvPr>
        <xdr:cNvGrpSpPr/>
      </xdr:nvGrpSpPr>
      <xdr:grpSpPr>
        <a:xfrm>
          <a:off x="5742" y="11936804"/>
          <a:ext cx="1706211" cy="488477"/>
          <a:chOff x="4477" y="11347997"/>
          <a:chExt cx="1725184" cy="480012"/>
        </a:xfrm>
      </xdr:grpSpPr>
      <xdr:sp macro="" textlink="">
        <xdr:nvSpPr>
          <xdr:cNvPr id="37" name="Rectangle: Rounded Corners 36">
            <a:extLst>
              <a:ext uri="{FF2B5EF4-FFF2-40B4-BE49-F238E27FC236}">
                <a16:creationId xmlns:a16="http://schemas.microsoft.com/office/drawing/2014/main" id="{D89E2303-EC03-1E26-0824-7F0A0791E4CA}"/>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8" name="TextBox 37">
            <a:hlinkClick xmlns:r="http://schemas.openxmlformats.org/officeDocument/2006/relationships" r:id="rId27"/>
            <a:extLst>
              <a:ext uri="{FF2B5EF4-FFF2-40B4-BE49-F238E27FC236}">
                <a16:creationId xmlns:a16="http://schemas.microsoft.com/office/drawing/2014/main" id="{EA5DAD5E-4130-4146-E1A4-26932DA14C36}"/>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9" name="Oval 38">
            <a:extLst>
              <a:ext uri="{FF2B5EF4-FFF2-40B4-BE49-F238E27FC236}">
                <a16:creationId xmlns:a16="http://schemas.microsoft.com/office/drawing/2014/main" id="{FA4A30A8-85BD-104F-C12A-D8488BBA3F43}"/>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0" name="TextBox 39">
            <a:hlinkClick xmlns:r="http://schemas.openxmlformats.org/officeDocument/2006/relationships" r:id="rId27"/>
            <a:extLst>
              <a:ext uri="{FF2B5EF4-FFF2-40B4-BE49-F238E27FC236}">
                <a16:creationId xmlns:a16="http://schemas.microsoft.com/office/drawing/2014/main" id="{B74CA3E4-15D4-DDCF-2230-FB97FF8F85A7}"/>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238" name="Group 237">
          <a:extLst>
            <a:ext uri="{FF2B5EF4-FFF2-40B4-BE49-F238E27FC236}">
              <a16:creationId xmlns:a16="http://schemas.microsoft.com/office/drawing/2014/main" id="{F367BD54-715F-4364-9C95-7ABC65C82CFD}"/>
            </a:ext>
          </a:extLst>
        </xdr:cNvPr>
        <xdr:cNvGrpSpPr/>
      </xdr:nvGrpSpPr>
      <xdr:grpSpPr>
        <a:xfrm>
          <a:off x="9931400" y="0"/>
          <a:ext cx="774288" cy="286106"/>
          <a:chOff x="7108587" y="129950"/>
          <a:chExt cx="884099" cy="287016"/>
        </a:xfrm>
      </xdr:grpSpPr>
      <xdr:pic>
        <xdr:nvPicPr>
          <xdr:cNvPr id="239" name="Graphic 238" descr="Rewind with solid fill">
            <a:hlinkClick xmlns:r="http://schemas.openxmlformats.org/officeDocument/2006/relationships" r:id="rId28"/>
            <a:extLst>
              <a:ext uri="{FF2B5EF4-FFF2-40B4-BE49-F238E27FC236}">
                <a16:creationId xmlns:a16="http://schemas.microsoft.com/office/drawing/2014/main" id="{10D400F0-065E-03D6-3824-CD1137C5D388}"/>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40" name="TextBox 239">
            <a:hlinkClick xmlns:r="http://schemas.openxmlformats.org/officeDocument/2006/relationships" r:id="rId28"/>
            <a:extLst>
              <a:ext uri="{FF2B5EF4-FFF2-40B4-BE49-F238E27FC236}">
                <a16:creationId xmlns:a16="http://schemas.microsoft.com/office/drawing/2014/main" id="{1DFD45EA-0094-8A66-C0EE-ED43DE2585F9}"/>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27</xdr:row>
      <xdr:rowOff>273050</xdr:rowOff>
    </xdr:from>
    <xdr:to>
      <xdr:col>0</xdr:col>
      <xdr:colOff>1713549</xdr:colOff>
      <xdr:row>31</xdr:row>
      <xdr:rowOff>480434</xdr:rowOff>
    </xdr:to>
    <xdr:grpSp>
      <xdr:nvGrpSpPr>
        <xdr:cNvPr id="126" name="Group 125">
          <a:extLst>
            <a:ext uri="{FF2B5EF4-FFF2-40B4-BE49-F238E27FC236}">
              <a16:creationId xmlns:a16="http://schemas.microsoft.com/office/drawing/2014/main" id="{8E8438C7-B373-4642-85F9-40BE862585E3}"/>
            </a:ext>
          </a:extLst>
        </xdr:cNvPr>
        <xdr:cNvGrpSpPr/>
      </xdr:nvGrpSpPr>
      <xdr:grpSpPr>
        <a:xfrm>
          <a:off x="0" y="12458700"/>
          <a:ext cx="1713549" cy="2233034"/>
          <a:chOff x="5137727" y="13144500"/>
          <a:chExt cx="1713549" cy="2252946"/>
        </a:xfrm>
      </xdr:grpSpPr>
      <xdr:grpSp>
        <xdr:nvGrpSpPr>
          <xdr:cNvPr id="127" name="Group 126">
            <a:extLst>
              <a:ext uri="{FF2B5EF4-FFF2-40B4-BE49-F238E27FC236}">
                <a16:creationId xmlns:a16="http://schemas.microsoft.com/office/drawing/2014/main" id="{0E9EFC6A-0F1D-D15B-C061-99E657436B59}"/>
              </a:ext>
            </a:extLst>
          </xdr:cNvPr>
          <xdr:cNvGrpSpPr/>
        </xdr:nvGrpSpPr>
        <xdr:grpSpPr>
          <a:xfrm>
            <a:off x="5144107" y="13624532"/>
            <a:ext cx="1707169" cy="465099"/>
            <a:chOff x="3415" y="11846315"/>
            <a:chExt cx="1725184" cy="456487"/>
          </a:xfrm>
        </xdr:grpSpPr>
        <xdr:sp macro="" textlink="">
          <xdr:nvSpPr>
            <xdr:cNvPr id="208" name="Rectangle: Rounded Corners 207">
              <a:extLst>
                <a:ext uri="{FF2B5EF4-FFF2-40B4-BE49-F238E27FC236}">
                  <a16:creationId xmlns:a16="http://schemas.microsoft.com/office/drawing/2014/main" id="{3D469AF2-637B-1DB4-3297-0B65EBA5F6B4}"/>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9" name="TextBox 208">
              <a:hlinkClick xmlns:r="http://schemas.openxmlformats.org/officeDocument/2006/relationships" r:id="rId23"/>
              <a:extLst>
                <a:ext uri="{FF2B5EF4-FFF2-40B4-BE49-F238E27FC236}">
                  <a16:creationId xmlns:a16="http://schemas.microsoft.com/office/drawing/2014/main" id="{9918F830-F4BE-077B-2C7F-ED055AFBBAB0}"/>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10" name="Oval 209">
              <a:extLst>
                <a:ext uri="{FF2B5EF4-FFF2-40B4-BE49-F238E27FC236}">
                  <a16:creationId xmlns:a16="http://schemas.microsoft.com/office/drawing/2014/main" id="{241DCAD8-2904-984D-3D6B-176401D63556}"/>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1" name="TextBox 210">
              <a:hlinkClick xmlns:r="http://schemas.openxmlformats.org/officeDocument/2006/relationships" r:id="rId31"/>
              <a:extLst>
                <a:ext uri="{FF2B5EF4-FFF2-40B4-BE49-F238E27FC236}">
                  <a16:creationId xmlns:a16="http://schemas.microsoft.com/office/drawing/2014/main" id="{1924BF85-35A0-22DD-605D-14EB9E6A8945}"/>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92" name="Group 191">
            <a:extLst>
              <a:ext uri="{FF2B5EF4-FFF2-40B4-BE49-F238E27FC236}">
                <a16:creationId xmlns:a16="http://schemas.microsoft.com/office/drawing/2014/main" id="{C0373BF2-CC1D-CFAC-B3E5-E14BC0DE9C43}"/>
              </a:ext>
            </a:extLst>
          </xdr:cNvPr>
          <xdr:cNvGrpSpPr/>
        </xdr:nvGrpSpPr>
        <xdr:grpSpPr>
          <a:xfrm>
            <a:off x="5141639" y="14111307"/>
            <a:ext cx="1707169" cy="494728"/>
            <a:chOff x="847" y="12324893"/>
            <a:chExt cx="1725184" cy="486884"/>
          </a:xfrm>
        </xdr:grpSpPr>
        <xdr:sp macro="" textlink="">
          <xdr:nvSpPr>
            <xdr:cNvPr id="204" name="Rectangle: Rounded Corners 203">
              <a:extLst>
                <a:ext uri="{FF2B5EF4-FFF2-40B4-BE49-F238E27FC236}">
                  <a16:creationId xmlns:a16="http://schemas.microsoft.com/office/drawing/2014/main" id="{06243B99-2477-E681-B035-828F2EC9EB3B}"/>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5" name="TextBox 204">
              <a:hlinkClick xmlns:r="http://schemas.openxmlformats.org/officeDocument/2006/relationships" r:id="rId32"/>
              <a:extLst>
                <a:ext uri="{FF2B5EF4-FFF2-40B4-BE49-F238E27FC236}">
                  <a16:creationId xmlns:a16="http://schemas.microsoft.com/office/drawing/2014/main" id="{2487D4E0-9E48-3B20-4392-BEDF3B3EB209}"/>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06" name="Oval 205">
              <a:extLst>
                <a:ext uri="{FF2B5EF4-FFF2-40B4-BE49-F238E27FC236}">
                  <a16:creationId xmlns:a16="http://schemas.microsoft.com/office/drawing/2014/main" id="{BAD5DC29-2FA8-1946-CB5A-17135E51185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7" name="TextBox 206">
              <a:hlinkClick xmlns:r="http://schemas.openxmlformats.org/officeDocument/2006/relationships" r:id="rId32"/>
              <a:extLst>
                <a:ext uri="{FF2B5EF4-FFF2-40B4-BE49-F238E27FC236}">
                  <a16:creationId xmlns:a16="http://schemas.microsoft.com/office/drawing/2014/main" id="{1BDAAD62-F060-4ED2-4749-E3DB19105D7E}"/>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93" name="TextBox 192">
            <a:extLst>
              <a:ext uri="{FF2B5EF4-FFF2-40B4-BE49-F238E27FC236}">
                <a16:creationId xmlns:a16="http://schemas.microsoft.com/office/drawing/2014/main" id="{4E853E60-CCB6-AE2F-EFB6-7097243CB953}"/>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94" name="Group 193">
            <a:extLst>
              <a:ext uri="{FF2B5EF4-FFF2-40B4-BE49-F238E27FC236}">
                <a16:creationId xmlns:a16="http://schemas.microsoft.com/office/drawing/2014/main" id="{264EA963-C899-1484-2B6D-87107B261DCD}"/>
              </a:ext>
            </a:extLst>
          </xdr:cNvPr>
          <xdr:cNvGrpSpPr/>
        </xdr:nvGrpSpPr>
        <xdr:grpSpPr>
          <a:xfrm>
            <a:off x="5138008" y="14617043"/>
            <a:ext cx="1708983" cy="494290"/>
            <a:chOff x="847" y="12324893"/>
            <a:chExt cx="1725184" cy="486884"/>
          </a:xfrm>
        </xdr:grpSpPr>
        <xdr:sp macro="" textlink="">
          <xdr:nvSpPr>
            <xdr:cNvPr id="200" name="Rectangle: Rounded Corners 199">
              <a:extLst>
                <a:ext uri="{FF2B5EF4-FFF2-40B4-BE49-F238E27FC236}">
                  <a16:creationId xmlns:a16="http://schemas.microsoft.com/office/drawing/2014/main" id="{ADAA5579-83E9-FE1D-EB42-C653E6DC518C}"/>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1" name="TextBox 200">
              <a:hlinkClick xmlns:r="http://schemas.openxmlformats.org/officeDocument/2006/relationships" r:id="rId33"/>
              <a:extLst>
                <a:ext uri="{FF2B5EF4-FFF2-40B4-BE49-F238E27FC236}">
                  <a16:creationId xmlns:a16="http://schemas.microsoft.com/office/drawing/2014/main" id="{CE4D01AF-8251-9671-EB38-9669EF8E4E63}"/>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02" name="Oval 201">
              <a:extLst>
                <a:ext uri="{FF2B5EF4-FFF2-40B4-BE49-F238E27FC236}">
                  <a16:creationId xmlns:a16="http://schemas.microsoft.com/office/drawing/2014/main" id="{503982B4-E40E-242B-84A4-39B933F5BB13}"/>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3" name="TextBox 202">
              <a:hlinkClick xmlns:r="http://schemas.openxmlformats.org/officeDocument/2006/relationships" r:id="rId33"/>
              <a:extLst>
                <a:ext uri="{FF2B5EF4-FFF2-40B4-BE49-F238E27FC236}">
                  <a16:creationId xmlns:a16="http://schemas.microsoft.com/office/drawing/2014/main" id="{7C157CEF-5F41-7686-44C0-03B3A0519F40}"/>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95" name="Group 194">
            <a:extLst>
              <a:ext uri="{FF2B5EF4-FFF2-40B4-BE49-F238E27FC236}">
                <a16:creationId xmlns:a16="http://schemas.microsoft.com/office/drawing/2014/main" id="{4269F0EE-9E9F-DF60-6923-1ABDAF85B4FB}"/>
              </a:ext>
            </a:extLst>
          </xdr:cNvPr>
          <xdr:cNvGrpSpPr/>
        </xdr:nvGrpSpPr>
        <xdr:grpSpPr>
          <a:xfrm>
            <a:off x="5137727" y="13144500"/>
            <a:ext cx="1707169" cy="464661"/>
            <a:chOff x="3415" y="11846315"/>
            <a:chExt cx="1725184" cy="456487"/>
          </a:xfrm>
        </xdr:grpSpPr>
        <xdr:sp macro="" textlink="">
          <xdr:nvSpPr>
            <xdr:cNvPr id="196" name="Rectangle: Rounded Corners 195">
              <a:hlinkClick xmlns:r="http://schemas.openxmlformats.org/officeDocument/2006/relationships" r:id="rId34"/>
              <a:extLst>
                <a:ext uri="{FF2B5EF4-FFF2-40B4-BE49-F238E27FC236}">
                  <a16:creationId xmlns:a16="http://schemas.microsoft.com/office/drawing/2014/main" id="{4310682E-CB41-13D8-2390-A89CB16A884D}"/>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7" name="TextBox 196">
              <a:hlinkClick xmlns:r="http://schemas.openxmlformats.org/officeDocument/2006/relationships" r:id="rId34"/>
              <a:extLst>
                <a:ext uri="{FF2B5EF4-FFF2-40B4-BE49-F238E27FC236}">
                  <a16:creationId xmlns:a16="http://schemas.microsoft.com/office/drawing/2014/main" id="{2307BCA8-B3D8-8989-240E-B091A65C3394}"/>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98" name="Oval 197">
              <a:hlinkClick xmlns:r="http://schemas.openxmlformats.org/officeDocument/2006/relationships" r:id="rId34"/>
              <a:extLst>
                <a:ext uri="{FF2B5EF4-FFF2-40B4-BE49-F238E27FC236}">
                  <a16:creationId xmlns:a16="http://schemas.microsoft.com/office/drawing/2014/main" id="{45F6E075-1253-88F6-7206-1B5EC83246F3}"/>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9" name="TextBox 198">
              <a:hlinkClick xmlns:r="http://schemas.openxmlformats.org/officeDocument/2006/relationships" r:id="rId34"/>
              <a:extLst>
                <a:ext uri="{FF2B5EF4-FFF2-40B4-BE49-F238E27FC236}">
                  <a16:creationId xmlns:a16="http://schemas.microsoft.com/office/drawing/2014/main" id="{ECBD4236-C554-B679-3861-3D9BA9B604E7}"/>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12976</xdr:colOff>
      <xdr:row>77</xdr:row>
      <xdr:rowOff>90714</xdr:rowOff>
    </xdr:to>
    <xdr:grpSp>
      <xdr:nvGrpSpPr>
        <xdr:cNvPr id="17" name="Group 16">
          <a:extLst>
            <a:ext uri="{FF2B5EF4-FFF2-40B4-BE49-F238E27FC236}">
              <a16:creationId xmlns:a16="http://schemas.microsoft.com/office/drawing/2014/main" id="{C85067D8-B890-F5B1-98EA-150BD7C24123}"/>
            </a:ext>
          </a:extLst>
        </xdr:cNvPr>
        <xdr:cNvGrpSpPr/>
      </xdr:nvGrpSpPr>
      <xdr:grpSpPr>
        <a:xfrm>
          <a:off x="0" y="0"/>
          <a:ext cx="1841776" cy="14270264"/>
          <a:chOff x="0" y="0"/>
          <a:chExt cx="1841776" cy="13781314"/>
        </a:xfrm>
      </xdr:grpSpPr>
      <xdr:sp macro="" textlink="">
        <xdr:nvSpPr>
          <xdr:cNvPr id="172" name="Rectangle: Rounded Corners 171">
            <a:extLst>
              <a:ext uri="{FF2B5EF4-FFF2-40B4-BE49-F238E27FC236}">
                <a16:creationId xmlns:a16="http://schemas.microsoft.com/office/drawing/2014/main" id="{E120F473-A21F-429E-8DC1-1010AED2264A}"/>
              </a:ext>
            </a:extLst>
          </xdr:cNvPr>
          <xdr:cNvSpPr/>
        </xdr:nvSpPr>
        <xdr:spPr>
          <a:xfrm>
            <a:off x="0" y="0"/>
            <a:ext cx="1841776" cy="13781314"/>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146" name="Group 145">
            <a:extLst>
              <a:ext uri="{FF2B5EF4-FFF2-40B4-BE49-F238E27FC236}">
                <a16:creationId xmlns:a16="http://schemas.microsoft.com/office/drawing/2014/main" id="{97906485-1727-9BD7-FD06-E42971DDBD49}"/>
              </a:ext>
            </a:extLst>
          </xdr:cNvPr>
          <xdr:cNvGrpSpPr/>
        </xdr:nvGrpSpPr>
        <xdr:grpSpPr>
          <a:xfrm>
            <a:off x="11239" y="622184"/>
            <a:ext cx="1704895" cy="430316"/>
            <a:chOff x="17891" y="510932"/>
            <a:chExt cx="1724265" cy="444500"/>
          </a:xfrm>
        </xdr:grpSpPr>
        <xdr:sp macro="" textlink="">
          <xdr:nvSpPr>
            <xdr:cNvPr id="3" name="Rectangle: Rounded Corners 2">
              <a:extLst>
                <a:ext uri="{FF2B5EF4-FFF2-40B4-BE49-F238E27FC236}">
                  <a16:creationId xmlns:a16="http://schemas.microsoft.com/office/drawing/2014/main" id="{19566DEE-A823-3A8C-10A3-8BA8C308E969}"/>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 name="TextBox 4">
              <a:hlinkClick xmlns:r="http://schemas.openxmlformats.org/officeDocument/2006/relationships" r:id="rId1"/>
              <a:extLst>
                <a:ext uri="{FF2B5EF4-FFF2-40B4-BE49-F238E27FC236}">
                  <a16:creationId xmlns:a16="http://schemas.microsoft.com/office/drawing/2014/main" id="{8A314175-218D-197B-3219-D1B7C70159D7}"/>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6" name="Oval 5">
              <a:extLst>
                <a:ext uri="{FF2B5EF4-FFF2-40B4-BE49-F238E27FC236}">
                  <a16:creationId xmlns:a16="http://schemas.microsoft.com/office/drawing/2014/main" id="{7F48534C-1856-6119-55B6-707C58C5F498}"/>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pic>
        <xdr:nvPicPr>
          <xdr:cNvPr id="7" name="Graphic 6" descr="Home with solid fill">
            <a:hlinkClick xmlns:r="http://schemas.openxmlformats.org/officeDocument/2006/relationships" r:id="rId2"/>
            <a:extLst>
              <a:ext uri="{FF2B5EF4-FFF2-40B4-BE49-F238E27FC236}">
                <a16:creationId xmlns:a16="http://schemas.microsoft.com/office/drawing/2014/main" id="{A5B22D03-F0FF-4768-AFB1-5A16CAEC2E6B}"/>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389958"/>
          </a:xfrm>
          <a:prstGeom prst="rect">
            <a:avLst/>
          </a:prstGeom>
        </xdr:spPr>
      </xdr:pic>
      <xdr:grpSp>
        <xdr:nvGrpSpPr>
          <xdr:cNvPr id="147" name="Group 146">
            <a:extLst>
              <a:ext uri="{FF2B5EF4-FFF2-40B4-BE49-F238E27FC236}">
                <a16:creationId xmlns:a16="http://schemas.microsoft.com/office/drawing/2014/main" id="{5485D357-12CF-1749-54C2-1EF8ED285DAD}"/>
              </a:ext>
            </a:extLst>
          </xdr:cNvPr>
          <xdr:cNvGrpSpPr/>
        </xdr:nvGrpSpPr>
        <xdr:grpSpPr>
          <a:xfrm>
            <a:off x="10917" y="1075112"/>
            <a:ext cx="1704895" cy="425662"/>
            <a:chOff x="23753" y="989136"/>
            <a:chExt cx="1724265" cy="444500"/>
          </a:xfrm>
        </xdr:grpSpPr>
        <xdr:sp macro="" textlink="">
          <xdr:nvSpPr>
            <xdr:cNvPr id="10" name="Rectangle: Rounded Corners 9">
              <a:extLst>
                <a:ext uri="{FF2B5EF4-FFF2-40B4-BE49-F238E27FC236}">
                  <a16:creationId xmlns:a16="http://schemas.microsoft.com/office/drawing/2014/main" id="{848ADCA6-E6F4-C9A8-A2FA-9FFD2F8430A1}"/>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 name="TextBox 10">
              <a:hlinkClick xmlns:r="http://schemas.openxmlformats.org/officeDocument/2006/relationships" r:id="rId5"/>
              <a:extLst>
                <a:ext uri="{FF2B5EF4-FFF2-40B4-BE49-F238E27FC236}">
                  <a16:creationId xmlns:a16="http://schemas.microsoft.com/office/drawing/2014/main" id="{27CC62A4-5AB6-DED0-0029-2919D3997099}"/>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2" name="Oval 11">
              <a:extLst>
                <a:ext uri="{FF2B5EF4-FFF2-40B4-BE49-F238E27FC236}">
                  <a16:creationId xmlns:a16="http://schemas.microsoft.com/office/drawing/2014/main" id="{C25CE69C-12E8-8101-B709-559E8FF4E70A}"/>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149" name="Group 148">
            <a:extLst>
              <a:ext uri="{FF2B5EF4-FFF2-40B4-BE49-F238E27FC236}">
                <a16:creationId xmlns:a16="http://schemas.microsoft.com/office/drawing/2014/main" id="{DBBA387A-B653-9366-EAC6-26B02C40B254}"/>
              </a:ext>
            </a:extLst>
          </xdr:cNvPr>
          <xdr:cNvGrpSpPr/>
        </xdr:nvGrpSpPr>
        <xdr:grpSpPr>
          <a:xfrm>
            <a:off x="13063" y="2005965"/>
            <a:ext cx="1704895" cy="426959"/>
            <a:chOff x="13593" y="1983238"/>
            <a:chExt cx="1722818" cy="443309"/>
          </a:xfrm>
        </xdr:grpSpPr>
        <xdr:sp macro="" textlink="">
          <xdr:nvSpPr>
            <xdr:cNvPr id="14" name="Rectangle: Rounded Corners 13">
              <a:extLst>
                <a:ext uri="{FF2B5EF4-FFF2-40B4-BE49-F238E27FC236}">
                  <a16:creationId xmlns:a16="http://schemas.microsoft.com/office/drawing/2014/main" id="{E742F5BE-74CD-4AA0-815E-7ADB4D24014A}"/>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5" name="TextBox 14">
              <a:hlinkClick xmlns:r="http://schemas.openxmlformats.org/officeDocument/2006/relationships" r:id="rId6"/>
              <a:extLst>
                <a:ext uri="{FF2B5EF4-FFF2-40B4-BE49-F238E27FC236}">
                  <a16:creationId xmlns:a16="http://schemas.microsoft.com/office/drawing/2014/main" id="{73B8BB74-A6F5-41DF-B6CB-79C6EE509CD0}"/>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6" name="Oval 15">
              <a:extLst>
                <a:ext uri="{FF2B5EF4-FFF2-40B4-BE49-F238E27FC236}">
                  <a16:creationId xmlns:a16="http://schemas.microsoft.com/office/drawing/2014/main" id="{CA51430C-652E-44A1-BED8-5D336927AA08}"/>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150" name="Group 149">
            <a:extLst>
              <a:ext uri="{FF2B5EF4-FFF2-40B4-BE49-F238E27FC236}">
                <a16:creationId xmlns:a16="http://schemas.microsoft.com/office/drawing/2014/main" id="{D4EC8D1B-8F70-8578-4644-D80C6930C20B}"/>
              </a:ext>
            </a:extLst>
          </xdr:cNvPr>
          <xdr:cNvGrpSpPr/>
        </xdr:nvGrpSpPr>
        <xdr:grpSpPr>
          <a:xfrm>
            <a:off x="12799" y="2453566"/>
            <a:ext cx="1702717" cy="425207"/>
            <a:chOff x="13317" y="2459028"/>
            <a:chExt cx="1720554" cy="441552"/>
          </a:xfrm>
        </xdr:grpSpPr>
        <xdr:sp macro="" textlink="">
          <xdr:nvSpPr>
            <xdr:cNvPr id="18" name="Rectangle: Rounded Corners 17">
              <a:extLst>
                <a:ext uri="{FF2B5EF4-FFF2-40B4-BE49-F238E27FC236}">
                  <a16:creationId xmlns:a16="http://schemas.microsoft.com/office/drawing/2014/main" id="{6448D681-7213-46E4-9B47-4DF4FC309D31}"/>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 name="TextBox 18">
              <a:hlinkClick xmlns:r="http://schemas.openxmlformats.org/officeDocument/2006/relationships" r:id="rId7"/>
              <a:extLst>
                <a:ext uri="{FF2B5EF4-FFF2-40B4-BE49-F238E27FC236}">
                  <a16:creationId xmlns:a16="http://schemas.microsoft.com/office/drawing/2014/main" id="{9C9AFC5A-0F4E-4838-9EEC-FCB3D446FEDC}"/>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20" name="Oval 19">
              <a:extLst>
                <a:ext uri="{FF2B5EF4-FFF2-40B4-BE49-F238E27FC236}">
                  <a16:creationId xmlns:a16="http://schemas.microsoft.com/office/drawing/2014/main" id="{B58B533D-E630-4EAF-9E2B-748CE860F1C7}"/>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151" name="Group 150">
            <a:extLst>
              <a:ext uri="{FF2B5EF4-FFF2-40B4-BE49-F238E27FC236}">
                <a16:creationId xmlns:a16="http://schemas.microsoft.com/office/drawing/2014/main" id="{6DD96EC4-20D8-A662-4BE6-CBD6B753F01B}"/>
              </a:ext>
            </a:extLst>
          </xdr:cNvPr>
          <xdr:cNvGrpSpPr/>
        </xdr:nvGrpSpPr>
        <xdr:grpSpPr>
          <a:xfrm>
            <a:off x="8181" y="2892387"/>
            <a:ext cx="1704895" cy="437479"/>
            <a:chOff x="8513" y="2976867"/>
            <a:chExt cx="1722818" cy="451725"/>
          </a:xfrm>
        </xdr:grpSpPr>
        <xdr:sp macro="" textlink="">
          <xdr:nvSpPr>
            <xdr:cNvPr id="23" name="Rectangle: Rounded Corners 22">
              <a:extLst>
                <a:ext uri="{FF2B5EF4-FFF2-40B4-BE49-F238E27FC236}">
                  <a16:creationId xmlns:a16="http://schemas.microsoft.com/office/drawing/2014/main" id="{4EC36FF2-550A-0F05-7C89-7765459FB7D4}"/>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 name="TextBox 23">
              <a:hlinkClick xmlns:r="http://schemas.openxmlformats.org/officeDocument/2006/relationships" r:id="rId7"/>
              <a:extLst>
                <a:ext uri="{FF2B5EF4-FFF2-40B4-BE49-F238E27FC236}">
                  <a16:creationId xmlns:a16="http://schemas.microsoft.com/office/drawing/2014/main" id="{DDED1E6A-53CA-4623-E6CB-E3C081E1F8CB}"/>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5" name="Oval 24">
              <a:extLst>
                <a:ext uri="{FF2B5EF4-FFF2-40B4-BE49-F238E27FC236}">
                  <a16:creationId xmlns:a16="http://schemas.microsoft.com/office/drawing/2014/main" id="{C0087BDD-D283-4E73-5B3E-8E8B5D68CBDC}"/>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6" name="TextBox 25">
              <a:hlinkClick xmlns:r="http://schemas.openxmlformats.org/officeDocument/2006/relationships" r:id="rId8"/>
              <a:extLst>
                <a:ext uri="{FF2B5EF4-FFF2-40B4-BE49-F238E27FC236}">
                  <a16:creationId xmlns:a16="http://schemas.microsoft.com/office/drawing/2014/main" id="{07BEA746-C6BA-80EE-0426-3C6145B3BCE4}"/>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grpSp>
        <xdr:nvGrpSpPr>
          <xdr:cNvPr id="148" name="Group 147">
            <a:extLst>
              <a:ext uri="{FF2B5EF4-FFF2-40B4-BE49-F238E27FC236}">
                <a16:creationId xmlns:a16="http://schemas.microsoft.com/office/drawing/2014/main" id="{8209E188-E659-49C0-C382-E25E8C2E9F63}"/>
              </a:ext>
            </a:extLst>
          </xdr:cNvPr>
          <xdr:cNvGrpSpPr/>
        </xdr:nvGrpSpPr>
        <xdr:grpSpPr>
          <a:xfrm>
            <a:off x="11772" y="1522036"/>
            <a:ext cx="1704895" cy="464264"/>
            <a:chOff x="21544" y="1467318"/>
            <a:chExt cx="1724265" cy="477164"/>
          </a:xfrm>
        </xdr:grpSpPr>
        <xdr:sp macro="" textlink="">
          <xdr:nvSpPr>
            <xdr:cNvPr id="29" name="Rectangle: Rounded Corners 28">
              <a:extLst>
                <a:ext uri="{FF2B5EF4-FFF2-40B4-BE49-F238E27FC236}">
                  <a16:creationId xmlns:a16="http://schemas.microsoft.com/office/drawing/2014/main" id="{2FF0705A-E062-0B71-F4CB-F4422C9C3FBB}"/>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0" name="TextBox 29">
              <a:hlinkClick xmlns:r="http://schemas.openxmlformats.org/officeDocument/2006/relationships" r:id="rId9"/>
              <a:extLst>
                <a:ext uri="{FF2B5EF4-FFF2-40B4-BE49-F238E27FC236}">
                  <a16:creationId xmlns:a16="http://schemas.microsoft.com/office/drawing/2014/main" id="{6C9A1683-D7A7-EBF1-7124-6A1AD898D869}"/>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31" name="Oval 30">
              <a:extLst>
                <a:ext uri="{FF2B5EF4-FFF2-40B4-BE49-F238E27FC236}">
                  <a16:creationId xmlns:a16="http://schemas.microsoft.com/office/drawing/2014/main" id="{433E1B33-94CC-EB4F-1446-EFA5DDD7FDC9}"/>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152" name="Group 151">
            <a:extLst>
              <a:ext uri="{FF2B5EF4-FFF2-40B4-BE49-F238E27FC236}">
                <a16:creationId xmlns:a16="http://schemas.microsoft.com/office/drawing/2014/main" id="{04DA13AB-36B9-2AA5-4646-C99BA1A73893}"/>
              </a:ext>
            </a:extLst>
          </xdr:cNvPr>
          <xdr:cNvGrpSpPr/>
        </xdr:nvGrpSpPr>
        <xdr:grpSpPr>
          <a:xfrm>
            <a:off x="8199" y="3342436"/>
            <a:ext cx="1704895" cy="461003"/>
            <a:chOff x="8532" y="3456662"/>
            <a:chExt cx="1722818" cy="482122"/>
          </a:xfrm>
        </xdr:grpSpPr>
        <xdr:sp macro="" textlink="">
          <xdr:nvSpPr>
            <xdr:cNvPr id="34" name="Rectangle: Rounded Corners 33">
              <a:extLst>
                <a:ext uri="{FF2B5EF4-FFF2-40B4-BE49-F238E27FC236}">
                  <a16:creationId xmlns:a16="http://schemas.microsoft.com/office/drawing/2014/main" id="{560A835F-4B70-D153-9189-DDBE37842EBD}"/>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5" name="TextBox 34">
              <a:hlinkClick xmlns:r="http://schemas.openxmlformats.org/officeDocument/2006/relationships" r:id="rId10"/>
              <a:extLst>
                <a:ext uri="{FF2B5EF4-FFF2-40B4-BE49-F238E27FC236}">
                  <a16:creationId xmlns:a16="http://schemas.microsoft.com/office/drawing/2014/main" id="{536E8071-50B7-AA70-3DE0-286DB65F877A}"/>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36" name="Oval 35">
              <a:extLst>
                <a:ext uri="{FF2B5EF4-FFF2-40B4-BE49-F238E27FC236}">
                  <a16:creationId xmlns:a16="http://schemas.microsoft.com/office/drawing/2014/main" id="{93CF2BE9-EEB3-A006-BB96-63E235462F2B}"/>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7" name="TextBox 36">
              <a:hlinkClick xmlns:r="http://schemas.openxmlformats.org/officeDocument/2006/relationships" r:id="rId10"/>
              <a:extLst>
                <a:ext uri="{FF2B5EF4-FFF2-40B4-BE49-F238E27FC236}">
                  <a16:creationId xmlns:a16="http://schemas.microsoft.com/office/drawing/2014/main" id="{C08563DA-95CE-9CED-93F7-908587E413E9}"/>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grpSp>
        <xdr:nvGrpSpPr>
          <xdr:cNvPr id="153" name="Group 152">
            <a:extLst>
              <a:ext uri="{FF2B5EF4-FFF2-40B4-BE49-F238E27FC236}">
                <a16:creationId xmlns:a16="http://schemas.microsoft.com/office/drawing/2014/main" id="{7464B9D4-98A2-A48A-4925-AEED83D724FB}"/>
              </a:ext>
            </a:extLst>
          </xdr:cNvPr>
          <xdr:cNvGrpSpPr/>
        </xdr:nvGrpSpPr>
        <xdr:grpSpPr>
          <a:xfrm>
            <a:off x="6077" y="3815641"/>
            <a:ext cx="1707169" cy="440302"/>
            <a:chOff x="6323" y="3964228"/>
            <a:chExt cx="1725184" cy="454551"/>
          </a:xfrm>
        </xdr:grpSpPr>
        <xdr:sp macro="" textlink="">
          <xdr:nvSpPr>
            <xdr:cNvPr id="40" name="Rectangle: Rounded Corners 39">
              <a:extLst>
                <a:ext uri="{FF2B5EF4-FFF2-40B4-BE49-F238E27FC236}">
                  <a16:creationId xmlns:a16="http://schemas.microsoft.com/office/drawing/2014/main" id="{FB3609DF-3FAD-A342-7A4B-3E5D4F467057}"/>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11"/>
              <a:extLst>
                <a:ext uri="{FF2B5EF4-FFF2-40B4-BE49-F238E27FC236}">
                  <a16:creationId xmlns:a16="http://schemas.microsoft.com/office/drawing/2014/main" id="{F370443D-F266-11BB-FFCE-AE460594F1E9}"/>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2" name="Oval 41">
              <a:extLst>
                <a:ext uri="{FF2B5EF4-FFF2-40B4-BE49-F238E27FC236}">
                  <a16:creationId xmlns:a16="http://schemas.microsoft.com/office/drawing/2014/main" id="{1F77E73B-1E4E-6169-4008-A67638AC825F}"/>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3" name="TextBox 42">
              <a:hlinkClick xmlns:r="http://schemas.openxmlformats.org/officeDocument/2006/relationships" r:id="rId11"/>
              <a:extLst>
                <a:ext uri="{FF2B5EF4-FFF2-40B4-BE49-F238E27FC236}">
                  <a16:creationId xmlns:a16="http://schemas.microsoft.com/office/drawing/2014/main" id="{B70B5915-A3E8-B0C0-AFE0-DDA18653E9AA}"/>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grpSp>
        <xdr:nvGrpSpPr>
          <xdr:cNvPr id="154" name="Group 153">
            <a:extLst>
              <a:ext uri="{FF2B5EF4-FFF2-40B4-BE49-F238E27FC236}">
                <a16:creationId xmlns:a16="http://schemas.microsoft.com/office/drawing/2014/main" id="{0BAD3D73-09B7-F184-4123-CBEBBE2FFAA2}"/>
              </a:ext>
            </a:extLst>
          </xdr:cNvPr>
          <xdr:cNvGrpSpPr/>
        </xdr:nvGrpSpPr>
        <xdr:grpSpPr>
          <a:xfrm>
            <a:off x="2748" y="4272371"/>
            <a:ext cx="1707169" cy="471585"/>
            <a:chOff x="2860" y="4442071"/>
            <a:chExt cx="1725184" cy="485874"/>
          </a:xfrm>
        </xdr:grpSpPr>
        <xdr:sp macro="" textlink="">
          <xdr:nvSpPr>
            <xdr:cNvPr id="46" name="Rectangle: Rounded Corners 45">
              <a:extLst>
                <a:ext uri="{FF2B5EF4-FFF2-40B4-BE49-F238E27FC236}">
                  <a16:creationId xmlns:a16="http://schemas.microsoft.com/office/drawing/2014/main" id="{255B936A-CA4E-1BD0-636B-15EE44F674DC}"/>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2"/>
              <a:extLst>
                <a:ext uri="{FF2B5EF4-FFF2-40B4-BE49-F238E27FC236}">
                  <a16:creationId xmlns:a16="http://schemas.microsoft.com/office/drawing/2014/main" id="{5405B8EC-AC6C-2C27-2985-80932B78A159}"/>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D5B7D42D-DC32-C9A1-D544-F353993E969D}"/>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12"/>
              <a:extLst>
                <a:ext uri="{FF2B5EF4-FFF2-40B4-BE49-F238E27FC236}">
                  <a16:creationId xmlns:a16="http://schemas.microsoft.com/office/drawing/2014/main" id="{AD46604E-85CF-3624-66B3-257A329C48E9}"/>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grpSp>
        <xdr:nvGrpSpPr>
          <xdr:cNvPr id="155" name="Group 154">
            <a:extLst>
              <a:ext uri="{FF2B5EF4-FFF2-40B4-BE49-F238E27FC236}">
                <a16:creationId xmlns:a16="http://schemas.microsoft.com/office/drawing/2014/main" id="{C701ED3F-EAAB-4E71-6F6B-908930E2D53D}"/>
              </a:ext>
            </a:extLst>
          </xdr:cNvPr>
          <xdr:cNvGrpSpPr/>
        </xdr:nvGrpSpPr>
        <xdr:grpSpPr>
          <a:xfrm>
            <a:off x="2133" y="4765255"/>
            <a:ext cx="1707169" cy="435084"/>
            <a:chOff x="2219" y="4949272"/>
            <a:chExt cx="1725184" cy="456170"/>
          </a:xfrm>
        </xdr:grpSpPr>
        <xdr:sp macro="" textlink="">
          <xdr:nvSpPr>
            <xdr:cNvPr id="52" name="Rectangle: Rounded Corners 51">
              <a:extLst>
                <a:ext uri="{FF2B5EF4-FFF2-40B4-BE49-F238E27FC236}">
                  <a16:creationId xmlns:a16="http://schemas.microsoft.com/office/drawing/2014/main" id="{956BE8C3-5809-7DAF-470E-E0378BE0769E}"/>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13"/>
              <a:extLst>
                <a:ext uri="{FF2B5EF4-FFF2-40B4-BE49-F238E27FC236}">
                  <a16:creationId xmlns:a16="http://schemas.microsoft.com/office/drawing/2014/main" id="{5FB453AF-E06E-E121-1D6C-F4F800A598C0}"/>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4" name="Oval 53">
              <a:extLst>
                <a:ext uri="{FF2B5EF4-FFF2-40B4-BE49-F238E27FC236}">
                  <a16:creationId xmlns:a16="http://schemas.microsoft.com/office/drawing/2014/main" id="{2B824D5E-BDE0-69EA-7832-983853A84561}"/>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13"/>
              <a:extLst>
                <a:ext uri="{FF2B5EF4-FFF2-40B4-BE49-F238E27FC236}">
                  <a16:creationId xmlns:a16="http://schemas.microsoft.com/office/drawing/2014/main" id="{55B69C1B-A7D6-42E4-A70D-09DB66ECFF4B}"/>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grpSp>
        <xdr:nvGrpSpPr>
          <xdr:cNvPr id="156" name="Group 155">
            <a:extLst>
              <a:ext uri="{FF2B5EF4-FFF2-40B4-BE49-F238E27FC236}">
                <a16:creationId xmlns:a16="http://schemas.microsoft.com/office/drawing/2014/main" id="{C5932833-8580-1130-B544-95513D9E2F38}"/>
              </a:ext>
            </a:extLst>
          </xdr:cNvPr>
          <xdr:cNvGrpSpPr/>
        </xdr:nvGrpSpPr>
        <xdr:grpSpPr>
          <a:xfrm>
            <a:off x="2129" y="5218375"/>
            <a:ext cx="1707169" cy="466559"/>
            <a:chOff x="2215" y="5434042"/>
            <a:chExt cx="1725184" cy="486597"/>
          </a:xfrm>
        </xdr:grpSpPr>
        <xdr:sp macro="" textlink="">
          <xdr:nvSpPr>
            <xdr:cNvPr id="58" name="Rectangle: Rounded Corners 57">
              <a:extLst>
                <a:ext uri="{FF2B5EF4-FFF2-40B4-BE49-F238E27FC236}">
                  <a16:creationId xmlns:a16="http://schemas.microsoft.com/office/drawing/2014/main" id="{BA18FF78-ECAD-C6B1-A951-044A3ABE3B93}"/>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9" name="TextBox 58">
              <a:hlinkClick xmlns:r="http://schemas.openxmlformats.org/officeDocument/2006/relationships" r:id="rId14"/>
              <a:extLst>
                <a:ext uri="{FF2B5EF4-FFF2-40B4-BE49-F238E27FC236}">
                  <a16:creationId xmlns:a16="http://schemas.microsoft.com/office/drawing/2014/main" id="{6A0C1AE9-63A2-D0FE-34D2-9588187872BA}"/>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0" name="Oval 59">
              <a:extLst>
                <a:ext uri="{FF2B5EF4-FFF2-40B4-BE49-F238E27FC236}">
                  <a16:creationId xmlns:a16="http://schemas.microsoft.com/office/drawing/2014/main" id="{7FCAA38B-EBC6-EA23-017A-F656134379DD}"/>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1" name="TextBox 60">
              <a:hlinkClick xmlns:r="http://schemas.openxmlformats.org/officeDocument/2006/relationships" r:id="rId14"/>
              <a:extLst>
                <a:ext uri="{FF2B5EF4-FFF2-40B4-BE49-F238E27FC236}">
                  <a16:creationId xmlns:a16="http://schemas.microsoft.com/office/drawing/2014/main" id="{C8E60084-8544-874E-C8F6-5A58AAF51977}"/>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grpSp>
        <xdr:nvGrpSpPr>
          <xdr:cNvPr id="157" name="Group 156">
            <a:extLst>
              <a:ext uri="{FF2B5EF4-FFF2-40B4-BE49-F238E27FC236}">
                <a16:creationId xmlns:a16="http://schemas.microsoft.com/office/drawing/2014/main" id="{00E27B46-20FD-A4A9-C4E0-5975807D68E4}"/>
              </a:ext>
            </a:extLst>
          </xdr:cNvPr>
          <xdr:cNvGrpSpPr/>
        </xdr:nvGrpSpPr>
        <xdr:grpSpPr>
          <a:xfrm>
            <a:off x="2127" y="5701957"/>
            <a:ext cx="1707169" cy="471585"/>
            <a:chOff x="2213" y="5938772"/>
            <a:chExt cx="1725184" cy="485874"/>
          </a:xfrm>
        </xdr:grpSpPr>
        <xdr:sp macro="" textlink="">
          <xdr:nvSpPr>
            <xdr:cNvPr id="64" name="Rectangle: Rounded Corners 63">
              <a:extLst>
                <a:ext uri="{FF2B5EF4-FFF2-40B4-BE49-F238E27FC236}">
                  <a16:creationId xmlns:a16="http://schemas.microsoft.com/office/drawing/2014/main" id="{0BB6C279-B642-9075-C868-4C04E37DC9A2}"/>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15"/>
              <a:extLst>
                <a:ext uri="{FF2B5EF4-FFF2-40B4-BE49-F238E27FC236}">
                  <a16:creationId xmlns:a16="http://schemas.microsoft.com/office/drawing/2014/main" id="{F5B12F18-9D36-C725-3768-E6CAE2B6EBC8}"/>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6" name="Oval 65">
              <a:extLst>
                <a:ext uri="{FF2B5EF4-FFF2-40B4-BE49-F238E27FC236}">
                  <a16:creationId xmlns:a16="http://schemas.microsoft.com/office/drawing/2014/main" id="{D81B2E77-E630-7C78-1B01-A7EE4A2B56E2}"/>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15"/>
              <a:extLst>
                <a:ext uri="{FF2B5EF4-FFF2-40B4-BE49-F238E27FC236}">
                  <a16:creationId xmlns:a16="http://schemas.microsoft.com/office/drawing/2014/main" id="{67BDCFF8-ED7F-B9B3-D27D-335AEABEBE5F}"/>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grpSp>
        <xdr:nvGrpSpPr>
          <xdr:cNvPr id="158" name="Group 157">
            <a:extLst>
              <a:ext uri="{FF2B5EF4-FFF2-40B4-BE49-F238E27FC236}">
                <a16:creationId xmlns:a16="http://schemas.microsoft.com/office/drawing/2014/main" id="{886D2E51-9D3A-7ED1-8793-BD5B1950D6D2}"/>
              </a:ext>
            </a:extLst>
          </xdr:cNvPr>
          <xdr:cNvGrpSpPr/>
        </xdr:nvGrpSpPr>
        <xdr:grpSpPr>
          <a:xfrm>
            <a:off x="842" y="6192410"/>
            <a:ext cx="1707169" cy="435837"/>
            <a:chOff x="876" y="6443539"/>
            <a:chExt cx="1725184" cy="456924"/>
          </a:xfrm>
        </xdr:grpSpPr>
        <xdr:sp macro="" textlink="">
          <xdr:nvSpPr>
            <xdr:cNvPr id="70" name="Rectangle: Rounded Corners 69">
              <a:extLst>
                <a:ext uri="{FF2B5EF4-FFF2-40B4-BE49-F238E27FC236}">
                  <a16:creationId xmlns:a16="http://schemas.microsoft.com/office/drawing/2014/main" id="{4A95B6C0-7598-3333-E965-ADE1F62267A6}"/>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16"/>
              <a:extLst>
                <a:ext uri="{FF2B5EF4-FFF2-40B4-BE49-F238E27FC236}">
                  <a16:creationId xmlns:a16="http://schemas.microsoft.com/office/drawing/2014/main" id="{F95ADFB4-675D-CCBD-CAA6-AB366EFC3578}"/>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AE9CADF0-C1F5-0D63-05DB-E1A5E5C76CF2}"/>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16"/>
              <a:extLst>
                <a:ext uri="{FF2B5EF4-FFF2-40B4-BE49-F238E27FC236}">
                  <a16:creationId xmlns:a16="http://schemas.microsoft.com/office/drawing/2014/main" id="{85FF493F-2991-9E60-9E77-AE9316ED2C9E}"/>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grpSp>
        <xdr:nvGrpSpPr>
          <xdr:cNvPr id="160" name="Group 159">
            <a:extLst>
              <a:ext uri="{FF2B5EF4-FFF2-40B4-BE49-F238E27FC236}">
                <a16:creationId xmlns:a16="http://schemas.microsoft.com/office/drawing/2014/main" id="{6B43EF49-796E-686A-B39B-97637C10F1A8}"/>
              </a:ext>
            </a:extLst>
          </xdr:cNvPr>
          <xdr:cNvGrpSpPr/>
        </xdr:nvGrpSpPr>
        <xdr:grpSpPr>
          <a:xfrm>
            <a:off x="1777" y="7131624"/>
            <a:ext cx="1707169" cy="443578"/>
            <a:chOff x="1849" y="7421500"/>
            <a:chExt cx="1725184" cy="457832"/>
          </a:xfrm>
        </xdr:grpSpPr>
        <xdr:sp macro="" textlink="">
          <xdr:nvSpPr>
            <xdr:cNvPr id="76" name="Rectangle: Rounded Corners 75">
              <a:extLst>
                <a:ext uri="{FF2B5EF4-FFF2-40B4-BE49-F238E27FC236}">
                  <a16:creationId xmlns:a16="http://schemas.microsoft.com/office/drawing/2014/main" id="{F454C625-3158-92F6-D0BB-F20527BD651B}"/>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17"/>
              <a:extLst>
                <a:ext uri="{FF2B5EF4-FFF2-40B4-BE49-F238E27FC236}">
                  <a16:creationId xmlns:a16="http://schemas.microsoft.com/office/drawing/2014/main" id="{EC045507-755A-DACF-4AE9-F2809A3A4A8A}"/>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8" name="Oval 77">
              <a:extLst>
                <a:ext uri="{FF2B5EF4-FFF2-40B4-BE49-F238E27FC236}">
                  <a16:creationId xmlns:a16="http://schemas.microsoft.com/office/drawing/2014/main" id="{8CB7AFBD-42DD-D26E-FF62-6B8D2131D780}"/>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7"/>
              <a:extLst>
                <a:ext uri="{FF2B5EF4-FFF2-40B4-BE49-F238E27FC236}">
                  <a16:creationId xmlns:a16="http://schemas.microsoft.com/office/drawing/2014/main" id="{09E37723-BA50-16B1-8975-E24A766E8B91}"/>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grpSp>
        <xdr:nvGrpSpPr>
          <xdr:cNvPr id="161" name="Group 160">
            <a:extLst>
              <a:ext uri="{FF2B5EF4-FFF2-40B4-BE49-F238E27FC236}">
                <a16:creationId xmlns:a16="http://schemas.microsoft.com/office/drawing/2014/main" id="{8AC4BFC1-B84F-29A1-9861-9FEC625823B9}"/>
              </a:ext>
            </a:extLst>
          </xdr:cNvPr>
          <xdr:cNvGrpSpPr/>
        </xdr:nvGrpSpPr>
        <xdr:grpSpPr>
          <a:xfrm>
            <a:off x="3704" y="7601467"/>
            <a:ext cx="1707169" cy="465700"/>
            <a:chOff x="3854" y="7898602"/>
            <a:chExt cx="1725184" cy="486825"/>
          </a:xfrm>
        </xdr:grpSpPr>
        <xdr:sp macro="" textlink="">
          <xdr:nvSpPr>
            <xdr:cNvPr id="82" name="Rectangle: Rounded Corners 81">
              <a:extLst>
                <a:ext uri="{FF2B5EF4-FFF2-40B4-BE49-F238E27FC236}">
                  <a16:creationId xmlns:a16="http://schemas.microsoft.com/office/drawing/2014/main" id="{30CC9A10-4CEC-240F-141A-31816956BEA3}"/>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F2664A37-DAC1-683A-3D04-336DBD0A0A45}"/>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5E9E7FF6-2AE3-412A-61B5-5D24CB5EC164}"/>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B02D9885-F7D9-CA00-F8BA-F302545EABBB}"/>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grpSp>
        <xdr:nvGrpSpPr>
          <xdr:cNvPr id="162" name="Group 161">
            <a:extLst>
              <a:ext uri="{FF2B5EF4-FFF2-40B4-BE49-F238E27FC236}">
                <a16:creationId xmlns:a16="http://schemas.microsoft.com/office/drawing/2014/main" id="{44F2AA38-BB49-F5B4-B899-E6BF10B548B2}"/>
              </a:ext>
            </a:extLst>
          </xdr:cNvPr>
          <xdr:cNvGrpSpPr/>
        </xdr:nvGrpSpPr>
        <xdr:grpSpPr>
          <a:xfrm>
            <a:off x="4988" y="8090150"/>
            <a:ext cx="1707169" cy="441184"/>
            <a:chOff x="5190" y="8408439"/>
            <a:chExt cx="1725184" cy="455434"/>
          </a:xfrm>
        </xdr:grpSpPr>
        <xdr:sp macro="" textlink="">
          <xdr:nvSpPr>
            <xdr:cNvPr id="88" name="Rectangle: Rounded Corners 87">
              <a:extLst>
                <a:ext uri="{FF2B5EF4-FFF2-40B4-BE49-F238E27FC236}">
                  <a16:creationId xmlns:a16="http://schemas.microsoft.com/office/drawing/2014/main" id="{D332E3E4-0ED4-5030-B8BB-419CABB18F6B}"/>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9"/>
              <a:extLst>
                <a:ext uri="{FF2B5EF4-FFF2-40B4-BE49-F238E27FC236}">
                  <a16:creationId xmlns:a16="http://schemas.microsoft.com/office/drawing/2014/main" id="{D3038129-6DE9-7FB5-3D79-CE9122D49072}"/>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0" name="Oval 89">
              <a:extLst>
                <a:ext uri="{FF2B5EF4-FFF2-40B4-BE49-F238E27FC236}">
                  <a16:creationId xmlns:a16="http://schemas.microsoft.com/office/drawing/2014/main" id="{A92C563C-380C-404C-3EAE-93D6FD89A315}"/>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9"/>
              <a:extLst>
                <a:ext uri="{FF2B5EF4-FFF2-40B4-BE49-F238E27FC236}">
                  <a16:creationId xmlns:a16="http://schemas.microsoft.com/office/drawing/2014/main" id="{431D8115-C391-2952-0F67-C766A8BA42C5}"/>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grpSp>
        <xdr:nvGrpSpPr>
          <xdr:cNvPr id="163" name="Group 162">
            <a:extLst>
              <a:ext uri="{FF2B5EF4-FFF2-40B4-BE49-F238E27FC236}">
                <a16:creationId xmlns:a16="http://schemas.microsoft.com/office/drawing/2014/main" id="{6626346A-8C11-DB8D-2416-B909D8DAA2AC}"/>
              </a:ext>
            </a:extLst>
          </xdr:cNvPr>
          <xdr:cNvGrpSpPr/>
        </xdr:nvGrpSpPr>
        <xdr:grpSpPr>
          <a:xfrm>
            <a:off x="6038" y="8543526"/>
            <a:ext cx="1707169" cy="465158"/>
            <a:chOff x="6283" y="8882925"/>
            <a:chExt cx="1725184" cy="479438"/>
          </a:xfrm>
        </xdr:grpSpPr>
        <xdr:sp macro="" textlink="">
          <xdr:nvSpPr>
            <xdr:cNvPr id="94" name="Rectangle: Rounded Corners 93">
              <a:extLst>
                <a:ext uri="{FF2B5EF4-FFF2-40B4-BE49-F238E27FC236}">
                  <a16:creationId xmlns:a16="http://schemas.microsoft.com/office/drawing/2014/main" id="{8B9F8839-654B-26FB-5234-3EF9B595B647}"/>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20"/>
              <a:extLst>
                <a:ext uri="{FF2B5EF4-FFF2-40B4-BE49-F238E27FC236}">
                  <a16:creationId xmlns:a16="http://schemas.microsoft.com/office/drawing/2014/main" id="{07FC1D8E-BB19-88A8-3453-C3157B9CC452}"/>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945ABEB5-4376-CB0B-4E77-68658130DE05}"/>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20"/>
              <a:extLst>
                <a:ext uri="{FF2B5EF4-FFF2-40B4-BE49-F238E27FC236}">
                  <a16:creationId xmlns:a16="http://schemas.microsoft.com/office/drawing/2014/main" id="{FB711297-A810-9D71-56FF-E901455AF9D1}"/>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grpSp>
        <xdr:nvGrpSpPr>
          <xdr:cNvPr id="166" name="Group 165">
            <a:extLst>
              <a:ext uri="{FF2B5EF4-FFF2-40B4-BE49-F238E27FC236}">
                <a16:creationId xmlns:a16="http://schemas.microsoft.com/office/drawing/2014/main" id="{3A6971A0-A33C-AFD7-6304-AFA4BC162294}"/>
              </a:ext>
            </a:extLst>
          </xdr:cNvPr>
          <xdr:cNvGrpSpPr/>
        </xdr:nvGrpSpPr>
        <xdr:grpSpPr>
          <a:xfrm>
            <a:off x="4605" y="9509435"/>
            <a:ext cx="1707169" cy="444789"/>
            <a:chOff x="4792" y="9884285"/>
            <a:chExt cx="1725184" cy="459044"/>
          </a:xfrm>
        </xdr:grpSpPr>
        <xdr:sp macro="" textlink="">
          <xdr:nvSpPr>
            <xdr:cNvPr id="100" name="Rectangle: Rounded Corners 99">
              <a:extLst>
                <a:ext uri="{FF2B5EF4-FFF2-40B4-BE49-F238E27FC236}">
                  <a16:creationId xmlns:a16="http://schemas.microsoft.com/office/drawing/2014/main" id="{B12B5620-8B16-BEE0-53FB-C11C56554671}"/>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21"/>
              <a:extLst>
                <a:ext uri="{FF2B5EF4-FFF2-40B4-BE49-F238E27FC236}">
                  <a16:creationId xmlns:a16="http://schemas.microsoft.com/office/drawing/2014/main" id="{2A1D3D55-AAE6-D2E0-D274-43C3E4C42AA3}"/>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2" name="Oval 101">
              <a:extLst>
                <a:ext uri="{FF2B5EF4-FFF2-40B4-BE49-F238E27FC236}">
                  <a16:creationId xmlns:a16="http://schemas.microsoft.com/office/drawing/2014/main" id="{28040B22-DE43-632E-683C-D7A417D3BEB9}"/>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21"/>
              <a:extLst>
                <a:ext uri="{FF2B5EF4-FFF2-40B4-BE49-F238E27FC236}">
                  <a16:creationId xmlns:a16="http://schemas.microsoft.com/office/drawing/2014/main" id="{B2354F55-3164-B5E6-8382-F1E49D806F42}"/>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grpSp>
        <xdr:nvGrpSpPr>
          <xdr:cNvPr id="165" name="Group 164">
            <a:extLst>
              <a:ext uri="{FF2B5EF4-FFF2-40B4-BE49-F238E27FC236}">
                <a16:creationId xmlns:a16="http://schemas.microsoft.com/office/drawing/2014/main" id="{F979A4DE-635A-0E14-54E6-016A202B7CFE}"/>
              </a:ext>
            </a:extLst>
          </xdr:cNvPr>
          <xdr:cNvGrpSpPr/>
        </xdr:nvGrpSpPr>
        <xdr:grpSpPr>
          <a:xfrm>
            <a:off x="5368" y="9025830"/>
            <a:ext cx="1707169" cy="460457"/>
            <a:chOff x="5586" y="9379532"/>
            <a:chExt cx="1725184" cy="481576"/>
          </a:xfrm>
        </xdr:grpSpPr>
        <xdr:sp macro="" textlink="">
          <xdr:nvSpPr>
            <xdr:cNvPr id="106" name="Rectangle: Rounded Corners 105">
              <a:extLst>
                <a:ext uri="{FF2B5EF4-FFF2-40B4-BE49-F238E27FC236}">
                  <a16:creationId xmlns:a16="http://schemas.microsoft.com/office/drawing/2014/main" id="{BF57272D-01BC-03D7-96B3-EBC75646CF25}"/>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22"/>
              <a:extLst>
                <a:ext uri="{FF2B5EF4-FFF2-40B4-BE49-F238E27FC236}">
                  <a16:creationId xmlns:a16="http://schemas.microsoft.com/office/drawing/2014/main" id="{F7CD13F2-A512-51B3-2BF4-1113382C8DA3}"/>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655475F1-4BD0-1ED8-8C00-5E7EB4E5572D}"/>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22"/>
              <a:extLst>
                <a:ext uri="{FF2B5EF4-FFF2-40B4-BE49-F238E27FC236}">
                  <a16:creationId xmlns:a16="http://schemas.microsoft.com/office/drawing/2014/main" id="{F43A2013-2335-14C5-26C4-8A08EE8AD516}"/>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grpSp>
        <xdr:nvGrpSpPr>
          <xdr:cNvPr id="167" name="Group 166">
            <a:extLst>
              <a:ext uri="{FF2B5EF4-FFF2-40B4-BE49-F238E27FC236}">
                <a16:creationId xmlns:a16="http://schemas.microsoft.com/office/drawing/2014/main" id="{922D1E14-6A01-8A50-FE66-77978843BE6F}"/>
              </a:ext>
            </a:extLst>
          </xdr:cNvPr>
          <xdr:cNvGrpSpPr/>
        </xdr:nvGrpSpPr>
        <xdr:grpSpPr>
          <a:xfrm>
            <a:off x="3836" y="9962232"/>
            <a:ext cx="1707169" cy="472185"/>
            <a:chOff x="3992" y="10358190"/>
            <a:chExt cx="1725184" cy="486476"/>
          </a:xfrm>
        </xdr:grpSpPr>
        <xdr:sp macro="" textlink="">
          <xdr:nvSpPr>
            <xdr:cNvPr id="112" name="Rectangle: Rounded Corners 111">
              <a:extLst>
                <a:ext uri="{FF2B5EF4-FFF2-40B4-BE49-F238E27FC236}">
                  <a16:creationId xmlns:a16="http://schemas.microsoft.com/office/drawing/2014/main" id="{BD900D6B-1795-E078-C990-DB4093F65298}"/>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23"/>
              <a:extLst>
                <a:ext uri="{FF2B5EF4-FFF2-40B4-BE49-F238E27FC236}">
                  <a16:creationId xmlns:a16="http://schemas.microsoft.com/office/drawing/2014/main" id="{6CD35713-D6B9-70E6-D923-09EA66535A00}"/>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4" name="Oval 113">
              <a:extLst>
                <a:ext uri="{FF2B5EF4-FFF2-40B4-BE49-F238E27FC236}">
                  <a16:creationId xmlns:a16="http://schemas.microsoft.com/office/drawing/2014/main" id="{7BB4DEDF-F3A8-8013-60E7-93C8E4B6B744}"/>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23"/>
              <a:extLst>
                <a:ext uri="{FF2B5EF4-FFF2-40B4-BE49-F238E27FC236}">
                  <a16:creationId xmlns:a16="http://schemas.microsoft.com/office/drawing/2014/main" id="{E8ADBE26-C551-3B5C-497C-26C4E19F63C0}"/>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grpSp>
        <xdr:nvGrpSpPr>
          <xdr:cNvPr id="170" name="Group 169">
            <a:extLst>
              <a:ext uri="{FF2B5EF4-FFF2-40B4-BE49-F238E27FC236}">
                <a16:creationId xmlns:a16="http://schemas.microsoft.com/office/drawing/2014/main" id="{A2758424-B047-90A3-E0E5-9D67D4D1B978}"/>
              </a:ext>
            </a:extLst>
          </xdr:cNvPr>
          <xdr:cNvGrpSpPr/>
        </xdr:nvGrpSpPr>
        <xdr:grpSpPr>
          <a:xfrm>
            <a:off x="6380" y="11864813"/>
            <a:ext cx="1707169" cy="443858"/>
            <a:chOff x="3415" y="11846315"/>
            <a:chExt cx="1725184" cy="456487"/>
          </a:xfrm>
        </xdr:grpSpPr>
        <xdr:sp macro="" textlink="">
          <xdr:nvSpPr>
            <xdr:cNvPr id="118" name="Rectangle: Rounded Corners 117">
              <a:extLst>
                <a:ext uri="{FF2B5EF4-FFF2-40B4-BE49-F238E27FC236}">
                  <a16:creationId xmlns:a16="http://schemas.microsoft.com/office/drawing/2014/main" id="{CBFE153C-3DD9-E526-1BAA-193B6F8C12BF}"/>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23"/>
              <a:extLst>
                <a:ext uri="{FF2B5EF4-FFF2-40B4-BE49-F238E27FC236}">
                  <a16:creationId xmlns:a16="http://schemas.microsoft.com/office/drawing/2014/main" id="{7912289E-EF0B-A816-4492-24EA42A96774}"/>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20" name="Oval 119">
              <a:extLst>
                <a:ext uri="{FF2B5EF4-FFF2-40B4-BE49-F238E27FC236}">
                  <a16:creationId xmlns:a16="http://schemas.microsoft.com/office/drawing/2014/main" id="{D6F37844-22B6-E0C6-5FAB-B37FDB53B93B}"/>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1" name="TextBox 120">
              <a:hlinkClick xmlns:r="http://schemas.openxmlformats.org/officeDocument/2006/relationships" r:id="rId24"/>
              <a:extLst>
                <a:ext uri="{FF2B5EF4-FFF2-40B4-BE49-F238E27FC236}">
                  <a16:creationId xmlns:a16="http://schemas.microsoft.com/office/drawing/2014/main" id="{7FEFAAD7-E38D-7347-739A-54877ACD9A71}"/>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8" name="Group 167">
            <a:extLst>
              <a:ext uri="{FF2B5EF4-FFF2-40B4-BE49-F238E27FC236}">
                <a16:creationId xmlns:a16="http://schemas.microsoft.com/office/drawing/2014/main" id="{22482F2F-BDA2-8F71-7C51-32B8134C15E8}"/>
              </a:ext>
            </a:extLst>
          </xdr:cNvPr>
          <xdr:cNvGrpSpPr/>
        </xdr:nvGrpSpPr>
        <xdr:grpSpPr>
          <a:xfrm>
            <a:off x="5499" y="10450927"/>
            <a:ext cx="1707169" cy="434363"/>
            <a:chOff x="5723" y="10874564"/>
            <a:chExt cx="1725184" cy="455447"/>
          </a:xfrm>
        </xdr:grpSpPr>
        <xdr:sp macro="" textlink="">
          <xdr:nvSpPr>
            <xdr:cNvPr id="124" name="Rectangle: Rounded Corners 123">
              <a:extLst>
                <a:ext uri="{FF2B5EF4-FFF2-40B4-BE49-F238E27FC236}">
                  <a16:creationId xmlns:a16="http://schemas.microsoft.com/office/drawing/2014/main" id="{BCD82A27-BC54-CA49-055B-2EEF4E53BB30}"/>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5" name="TextBox 124">
              <a:hlinkClick xmlns:r="http://schemas.openxmlformats.org/officeDocument/2006/relationships" r:id="rId25"/>
              <a:extLst>
                <a:ext uri="{FF2B5EF4-FFF2-40B4-BE49-F238E27FC236}">
                  <a16:creationId xmlns:a16="http://schemas.microsoft.com/office/drawing/2014/main" id="{28853FC4-87ED-BF89-B1F6-E5BD2B0FBFC2}"/>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26" name="Oval 125">
              <a:extLst>
                <a:ext uri="{FF2B5EF4-FFF2-40B4-BE49-F238E27FC236}">
                  <a16:creationId xmlns:a16="http://schemas.microsoft.com/office/drawing/2014/main" id="{95750E86-8645-A81E-DE06-EEBC1D55A066}"/>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7" name="TextBox 126">
              <a:hlinkClick xmlns:r="http://schemas.openxmlformats.org/officeDocument/2006/relationships" r:id="rId25"/>
              <a:extLst>
                <a:ext uri="{FF2B5EF4-FFF2-40B4-BE49-F238E27FC236}">
                  <a16:creationId xmlns:a16="http://schemas.microsoft.com/office/drawing/2014/main" id="{6249162C-F3C0-D561-2C3F-3FA91ADC1C68}"/>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grpSp>
        <xdr:nvGrpSpPr>
          <xdr:cNvPr id="169" name="Group 168">
            <a:extLst>
              <a:ext uri="{FF2B5EF4-FFF2-40B4-BE49-F238E27FC236}">
                <a16:creationId xmlns:a16="http://schemas.microsoft.com/office/drawing/2014/main" id="{8F71F692-1CE2-7977-2FEB-24C631208F85}"/>
              </a:ext>
            </a:extLst>
          </xdr:cNvPr>
          <xdr:cNvGrpSpPr/>
        </xdr:nvGrpSpPr>
        <xdr:grpSpPr>
          <a:xfrm>
            <a:off x="4302" y="10903251"/>
            <a:ext cx="1707169" cy="465730"/>
            <a:chOff x="4477" y="11347997"/>
            <a:chExt cx="1725184" cy="480012"/>
          </a:xfrm>
        </xdr:grpSpPr>
        <xdr:sp macro="" textlink="">
          <xdr:nvSpPr>
            <xdr:cNvPr id="130" name="Rectangle: Rounded Corners 129">
              <a:extLst>
                <a:ext uri="{FF2B5EF4-FFF2-40B4-BE49-F238E27FC236}">
                  <a16:creationId xmlns:a16="http://schemas.microsoft.com/office/drawing/2014/main" id="{59393ACA-11E0-E3BD-35F8-E4E0B9AC4A94}"/>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1" name="TextBox 130">
              <a:hlinkClick xmlns:r="http://schemas.openxmlformats.org/officeDocument/2006/relationships" r:id="rId26"/>
              <a:extLst>
                <a:ext uri="{FF2B5EF4-FFF2-40B4-BE49-F238E27FC236}">
                  <a16:creationId xmlns:a16="http://schemas.microsoft.com/office/drawing/2014/main" id="{E461BE9B-A962-A17F-7254-A5AB83CBEAF5}"/>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32" name="Oval 131">
              <a:extLst>
                <a:ext uri="{FF2B5EF4-FFF2-40B4-BE49-F238E27FC236}">
                  <a16:creationId xmlns:a16="http://schemas.microsoft.com/office/drawing/2014/main" id="{4FD8E114-A0CB-460F-3967-9B4644ABDEE6}"/>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33" name="TextBox 132">
              <a:hlinkClick xmlns:r="http://schemas.openxmlformats.org/officeDocument/2006/relationships" r:id="rId26"/>
              <a:extLst>
                <a:ext uri="{FF2B5EF4-FFF2-40B4-BE49-F238E27FC236}">
                  <a16:creationId xmlns:a16="http://schemas.microsoft.com/office/drawing/2014/main" id="{3C420BE3-FBC8-D1DD-30BD-0C6CDF4192CD}"/>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grpSp>
        <xdr:nvGrpSpPr>
          <xdr:cNvPr id="159" name="Group 158">
            <a:extLst>
              <a:ext uri="{FF2B5EF4-FFF2-40B4-BE49-F238E27FC236}">
                <a16:creationId xmlns:a16="http://schemas.microsoft.com/office/drawing/2014/main" id="{077961A6-8E97-05C5-D7B6-F80F04526E1C}"/>
              </a:ext>
            </a:extLst>
          </xdr:cNvPr>
          <xdr:cNvGrpSpPr/>
        </xdr:nvGrpSpPr>
        <xdr:grpSpPr>
          <a:xfrm>
            <a:off x="0" y="6646426"/>
            <a:ext cx="1707169" cy="462814"/>
            <a:chOff x="0" y="6922179"/>
            <a:chExt cx="1725184" cy="482848"/>
          </a:xfrm>
        </xdr:grpSpPr>
        <xdr:sp macro="" textlink="">
          <xdr:nvSpPr>
            <xdr:cNvPr id="136" name="Rectangle: Rounded Corners 135">
              <a:extLst>
                <a:ext uri="{FF2B5EF4-FFF2-40B4-BE49-F238E27FC236}">
                  <a16:creationId xmlns:a16="http://schemas.microsoft.com/office/drawing/2014/main" id="{AE92F1CE-B767-FFE9-CA18-CB8A562CE524}"/>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7" name="TextBox 136">
              <a:hlinkClick xmlns:r="http://schemas.openxmlformats.org/officeDocument/2006/relationships" r:id="rId16"/>
              <a:extLst>
                <a:ext uri="{FF2B5EF4-FFF2-40B4-BE49-F238E27FC236}">
                  <a16:creationId xmlns:a16="http://schemas.microsoft.com/office/drawing/2014/main" id="{1511B8C4-A358-06E4-CB2F-35A32B99CA0B}"/>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38" name="Oval 137">
              <a:extLst>
                <a:ext uri="{FF2B5EF4-FFF2-40B4-BE49-F238E27FC236}">
                  <a16:creationId xmlns:a16="http://schemas.microsoft.com/office/drawing/2014/main" id="{EB9112A7-F1AC-4E33-152A-2A3300E9DB9D}"/>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39" name="TextBox 138">
              <a:hlinkClick xmlns:r="http://schemas.openxmlformats.org/officeDocument/2006/relationships" r:id="rId27"/>
              <a:extLst>
                <a:ext uri="{FF2B5EF4-FFF2-40B4-BE49-F238E27FC236}">
                  <a16:creationId xmlns:a16="http://schemas.microsoft.com/office/drawing/2014/main" id="{D1C09769-2B69-1773-029B-9492EA310E5A}"/>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grpSp>
        <xdr:nvGrpSpPr>
          <xdr:cNvPr id="171" name="Group 170">
            <a:extLst>
              <a:ext uri="{FF2B5EF4-FFF2-40B4-BE49-F238E27FC236}">
                <a16:creationId xmlns:a16="http://schemas.microsoft.com/office/drawing/2014/main" id="{3DC19F86-3230-B2CD-3BD6-D891882CD080}"/>
              </a:ext>
            </a:extLst>
          </xdr:cNvPr>
          <xdr:cNvGrpSpPr/>
        </xdr:nvGrpSpPr>
        <xdr:grpSpPr>
          <a:xfrm>
            <a:off x="3912" y="12329338"/>
            <a:ext cx="1707169" cy="472108"/>
            <a:chOff x="847" y="12324893"/>
            <a:chExt cx="1725184" cy="486884"/>
          </a:xfrm>
        </xdr:grpSpPr>
        <xdr:sp macro="" textlink="">
          <xdr:nvSpPr>
            <xdr:cNvPr id="142" name="Rectangle: Rounded Corners 141">
              <a:extLst>
                <a:ext uri="{FF2B5EF4-FFF2-40B4-BE49-F238E27FC236}">
                  <a16:creationId xmlns:a16="http://schemas.microsoft.com/office/drawing/2014/main" id="{16098B3E-598B-F486-173E-6E9FEA25D4F7}"/>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3" name="TextBox 142">
              <a:hlinkClick xmlns:r="http://schemas.openxmlformats.org/officeDocument/2006/relationships" r:id="rId28"/>
              <a:extLst>
                <a:ext uri="{FF2B5EF4-FFF2-40B4-BE49-F238E27FC236}">
                  <a16:creationId xmlns:a16="http://schemas.microsoft.com/office/drawing/2014/main" id="{34E00D1C-430A-6137-625E-CBD662E92ED0}"/>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44" name="Oval 143">
              <a:extLst>
                <a:ext uri="{FF2B5EF4-FFF2-40B4-BE49-F238E27FC236}">
                  <a16:creationId xmlns:a16="http://schemas.microsoft.com/office/drawing/2014/main" id="{D74338F0-9ED7-7388-E063-11274EBE1D34}"/>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45" name="TextBox 144">
              <a:hlinkClick xmlns:r="http://schemas.openxmlformats.org/officeDocument/2006/relationships" r:id="rId28"/>
              <a:extLst>
                <a:ext uri="{FF2B5EF4-FFF2-40B4-BE49-F238E27FC236}">
                  <a16:creationId xmlns:a16="http://schemas.microsoft.com/office/drawing/2014/main" id="{84126E7E-7008-D6F7-1E46-863CD8760DBA}"/>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73" name="TextBox 172">
            <a:extLst>
              <a:ext uri="{FF2B5EF4-FFF2-40B4-BE49-F238E27FC236}">
                <a16:creationId xmlns:a16="http://schemas.microsoft.com/office/drawing/2014/main" id="{C5752F43-76F7-1033-0E0D-4BB5EA3E4BEC}"/>
              </a:ext>
            </a:extLst>
          </xdr:cNvPr>
          <xdr:cNvSpPr txBox="1"/>
        </xdr:nvSpPr>
        <xdr:spPr>
          <a:xfrm>
            <a:off x="73224" y="13573591"/>
            <a:ext cx="1589159" cy="18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2025 PLUS. All Rights Reserved.</a:t>
            </a:r>
            <a:endParaRPr lang="en-US" sz="800">
              <a:solidFill>
                <a:schemeClr val="bg1"/>
              </a:solidFill>
              <a:latin typeface="Arial Narrow" panose="020B0606020202030204" pitchFamily="34" charset="0"/>
            </a:endParaRPr>
          </a:p>
        </xdr:txBody>
      </xdr:sp>
      <xdr:grpSp>
        <xdr:nvGrpSpPr>
          <xdr:cNvPr id="176" name="Group 175">
            <a:extLst>
              <a:ext uri="{FF2B5EF4-FFF2-40B4-BE49-F238E27FC236}">
                <a16:creationId xmlns:a16="http://schemas.microsoft.com/office/drawing/2014/main" id="{05497D04-2712-4C96-B1D2-1CBB6E365EB4}"/>
              </a:ext>
            </a:extLst>
          </xdr:cNvPr>
          <xdr:cNvGrpSpPr/>
        </xdr:nvGrpSpPr>
        <xdr:grpSpPr>
          <a:xfrm>
            <a:off x="5742" y="11380942"/>
            <a:ext cx="1706211" cy="465730"/>
            <a:chOff x="4477" y="11347997"/>
            <a:chExt cx="1725184" cy="480012"/>
          </a:xfrm>
        </xdr:grpSpPr>
        <xdr:sp macro="" textlink="">
          <xdr:nvSpPr>
            <xdr:cNvPr id="177" name="Rectangle: Rounded Corners 176">
              <a:extLst>
                <a:ext uri="{FF2B5EF4-FFF2-40B4-BE49-F238E27FC236}">
                  <a16:creationId xmlns:a16="http://schemas.microsoft.com/office/drawing/2014/main" id="{C3658581-056C-3C6E-8175-DA3A0577E80E}"/>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29"/>
              <a:extLst>
                <a:ext uri="{FF2B5EF4-FFF2-40B4-BE49-F238E27FC236}">
                  <a16:creationId xmlns:a16="http://schemas.microsoft.com/office/drawing/2014/main" id="{57910394-ECFC-DEDD-6CC5-73CF9A146619}"/>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9" name="Oval 178">
              <a:extLst>
                <a:ext uri="{FF2B5EF4-FFF2-40B4-BE49-F238E27FC236}">
                  <a16:creationId xmlns:a16="http://schemas.microsoft.com/office/drawing/2014/main" id="{FD9EE06D-4575-F3A3-E863-6DFB3F8C7BAB}"/>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29"/>
              <a:extLst>
                <a:ext uri="{FF2B5EF4-FFF2-40B4-BE49-F238E27FC236}">
                  <a16:creationId xmlns:a16="http://schemas.microsoft.com/office/drawing/2014/main" id="{A1279206-C9F2-5FDC-8E1E-BF64C0206F76}"/>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grpSp>
        <xdr:nvGrpSpPr>
          <xdr:cNvPr id="2" name="Group 1">
            <a:extLst>
              <a:ext uri="{FF2B5EF4-FFF2-40B4-BE49-F238E27FC236}">
                <a16:creationId xmlns:a16="http://schemas.microsoft.com/office/drawing/2014/main" id="{9362D01C-02F1-43F4-B089-9B07BF2F7027}"/>
              </a:ext>
            </a:extLst>
          </xdr:cNvPr>
          <xdr:cNvGrpSpPr/>
        </xdr:nvGrpSpPr>
        <xdr:grpSpPr>
          <a:xfrm>
            <a:off x="281" y="12811941"/>
            <a:ext cx="1708983" cy="472108"/>
            <a:chOff x="847" y="12324893"/>
            <a:chExt cx="1725184" cy="486884"/>
          </a:xfrm>
        </xdr:grpSpPr>
        <xdr:sp macro="" textlink="">
          <xdr:nvSpPr>
            <xdr:cNvPr id="4" name="Rectangle: Rounded Corners 3">
              <a:extLst>
                <a:ext uri="{FF2B5EF4-FFF2-40B4-BE49-F238E27FC236}">
                  <a16:creationId xmlns:a16="http://schemas.microsoft.com/office/drawing/2014/main" id="{EEF329B8-0A87-8A68-2B9F-6F985741BE0C}"/>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 name="TextBox 7">
              <a:hlinkClick xmlns:r="http://schemas.openxmlformats.org/officeDocument/2006/relationships" r:id="rId30"/>
              <a:extLst>
                <a:ext uri="{FF2B5EF4-FFF2-40B4-BE49-F238E27FC236}">
                  <a16:creationId xmlns:a16="http://schemas.microsoft.com/office/drawing/2014/main" id="{8B14370F-7504-4A52-9046-146633E850C6}"/>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9" name="Oval 8">
              <a:extLst>
                <a:ext uri="{FF2B5EF4-FFF2-40B4-BE49-F238E27FC236}">
                  <a16:creationId xmlns:a16="http://schemas.microsoft.com/office/drawing/2014/main" id="{67E6260E-9287-309F-5328-C97A241A7B66}"/>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3" name="TextBox 12">
              <a:hlinkClick xmlns:r="http://schemas.openxmlformats.org/officeDocument/2006/relationships" r:id="rId30"/>
              <a:extLst>
                <a:ext uri="{FF2B5EF4-FFF2-40B4-BE49-F238E27FC236}">
                  <a16:creationId xmlns:a16="http://schemas.microsoft.com/office/drawing/2014/main" id="{BB79D835-0252-2BBE-5E61-6BB9AED4F9E7}"/>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56</xdr:row>
      <xdr:rowOff>69850</xdr:rowOff>
    </xdr:to>
    <xdr:sp macro="" textlink="">
      <xdr:nvSpPr>
        <xdr:cNvPr id="127" name="Rectangle: Rounded Corners 126">
          <a:extLst>
            <a:ext uri="{FF2B5EF4-FFF2-40B4-BE49-F238E27FC236}">
              <a16:creationId xmlns:a16="http://schemas.microsoft.com/office/drawing/2014/main" id="{0A99AFFB-0604-134F-AA99-B67CD08497BE}"/>
            </a:ext>
          </a:extLst>
        </xdr:cNvPr>
        <xdr:cNvSpPr/>
      </xdr:nvSpPr>
      <xdr:spPr>
        <a:xfrm>
          <a:off x="0" y="0"/>
          <a:ext cx="1841776" cy="148336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128" name="Group 127">
          <a:extLst>
            <a:ext uri="{FF2B5EF4-FFF2-40B4-BE49-F238E27FC236}">
              <a16:creationId xmlns:a16="http://schemas.microsoft.com/office/drawing/2014/main" id="{96211A40-BFFE-BA4E-031E-8890A2462A85}"/>
            </a:ext>
          </a:extLst>
        </xdr:cNvPr>
        <xdr:cNvGrpSpPr/>
      </xdr:nvGrpSpPr>
      <xdr:grpSpPr>
        <a:xfrm>
          <a:off x="11239" y="652572"/>
          <a:ext cx="1704895" cy="451333"/>
          <a:chOff x="17891" y="510932"/>
          <a:chExt cx="1724265" cy="444500"/>
        </a:xfrm>
      </xdr:grpSpPr>
      <xdr:sp macro="" textlink="">
        <xdr:nvSpPr>
          <xdr:cNvPr id="257" name="Rectangle: Rounded Corners 256">
            <a:extLst>
              <a:ext uri="{FF2B5EF4-FFF2-40B4-BE49-F238E27FC236}">
                <a16:creationId xmlns:a16="http://schemas.microsoft.com/office/drawing/2014/main" id="{5F45B590-D940-7343-1542-1206B3EB04E6}"/>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8" name="TextBox 257">
            <a:hlinkClick xmlns:r="http://schemas.openxmlformats.org/officeDocument/2006/relationships" r:id="rId1"/>
            <a:extLst>
              <a:ext uri="{FF2B5EF4-FFF2-40B4-BE49-F238E27FC236}">
                <a16:creationId xmlns:a16="http://schemas.microsoft.com/office/drawing/2014/main" id="{38059C41-ECC8-43E8-DBBD-66401B4DDF1C}"/>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259" name="Oval 258">
            <a:extLst>
              <a:ext uri="{FF2B5EF4-FFF2-40B4-BE49-F238E27FC236}">
                <a16:creationId xmlns:a16="http://schemas.microsoft.com/office/drawing/2014/main" id="{9DA6AE5E-1B82-E4E5-E9D2-CE05F13A7CC5}"/>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129" name="Graphic 128" descr="Home with solid fill">
          <a:hlinkClick xmlns:r="http://schemas.openxmlformats.org/officeDocument/2006/relationships" r:id="rId2"/>
          <a:extLst>
            <a:ext uri="{FF2B5EF4-FFF2-40B4-BE49-F238E27FC236}">
              <a16:creationId xmlns:a16="http://schemas.microsoft.com/office/drawing/2014/main" id="{D0FF41ED-1F5A-F6F8-B277-319015CE203C}"/>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130" name="Group 129">
          <a:extLst>
            <a:ext uri="{FF2B5EF4-FFF2-40B4-BE49-F238E27FC236}">
              <a16:creationId xmlns:a16="http://schemas.microsoft.com/office/drawing/2014/main" id="{A3CCCB24-BA24-7B2E-7211-3FC05553AC21}"/>
            </a:ext>
          </a:extLst>
        </xdr:cNvPr>
        <xdr:cNvGrpSpPr/>
      </xdr:nvGrpSpPr>
      <xdr:grpSpPr>
        <a:xfrm>
          <a:off x="10917" y="1127622"/>
          <a:ext cx="1704895" cy="446452"/>
          <a:chOff x="23753" y="989136"/>
          <a:chExt cx="1724265" cy="444500"/>
        </a:xfrm>
      </xdr:grpSpPr>
      <xdr:sp macro="" textlink="">
        <xdr:nvSpPr>
          <xdr:cNvPr id="254" name="Rectangle: Rounded Corners 253">
            <a:extLst>
              <a:ext uri="{FF2B5EF4-FFF2-40B4-BE49-F238E27FC236}">
                <a16:creationId xmlns:a16="http://schemas.microsoft.com/office/drawing/2014/main" id="{63994EA4-3117-3F90-5B49-50FD44DF427A}"/>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5" name="TextBox 254">
            <a:hlinkClick xmlns:r="http://schemas.openxmlformats.org/officeDocument/2006/relationships" r:id="rId5"/>
            <a:extLst>
              <a:ext uri="{FF2B5EF4-FFF2-40B4-BE49-F238E27FC236}">
                <a16:creationId xmlns:a16="http://schemas.microsoft.com/office/drawing/2014/main" id="{FB0F3368-D003-FBC9-3AF5-7363D91319F8}"/>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256" name="Oval 255">
            <a:extLst>
              <a:ext uri="{FF2B5EF4-FFF2-40B4-BE49-F238E27FC236}">
                <a16:creationId xmlns:a16="http://schemas.microsoft.com/office/drawing/2014/main" id="{D601A4CD-CE48-F8DD-97DC-6E17B68D81C5}"/>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230689</xdr:rowOff>
    </xdr:from>
    <xdr:to>
      <xdr:col>0</xdr:col>
      <xdr:colOff>1717958</xdr:colOff>
      <xdr:row>6</xdr:row>
      <xdr:rowOff>310201</xdr:rowOff>
    </xdr:to>
    <xdr:grpSp>
      <xdr:nvGrpSpPr>
        <xdr:cNvPr id="131" name="Group 130">
          <a:extLst>
            <a:ext uri="{FF2B5EF4-FFF2-40B4-BE49-F238E27FC236}">
              <a16:creationId xmlns:a16="http://schemas.microsoft.com/office/drawing/2014/main" id="{C8FFFD01-0569-0728-0F24-260661FE8F36}"/>
            </a:ext>
          </a:extLst>
        </xdr:cNvPr>
        <xdr:cNvGrpSpPr/>
      </xdr:nvGrpSpPr>
      <xdr:grpSpPr>
        <a:xfrm>
          <a:off x="13063" y="2103939"/>
          <a:ext cx="1704895" cy="447812"/>
          <a:chOff x="13593" y="1983238"/>
          <a:chExt cx="1722818" cy="443309"/>
        </a:xfrm>
      </xdr:grpSpPr>
      <xdr:sp macro="" textlink="">
        <xdr:nvSpPr>
          <xdr:cNvPr id="251" name="Rectangle: Rounded Corners 250">
            <a:extLst>
              <a:ext uri="{FF2B5EF4-FFF2-40B4-BE49-F238E27FC236}">
                <a16:creationId xmlns:a16="http://schemas.microsoft.com/office/drawing/2014/main" id="{FC6E14DD-A5CF-8C88-CAFA-3F5B405009DA}"/>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2" name="TextBox 251">
            <a:hlinkClick xmlns:r="http://schemas.openxmlformats.org/officeDocument/2006/relationships" r:id="rId6"/>
            <a:extLst>
              <a:ext uri="{FF2B5EF4-FFF2-40B4-BE49-F238E27FC236}">
                <a16:creationId xmlns:a16="http://schemas.microsoft.com/office/drawing/2014/main" id="{0ABB291E-E04A-5CBA-FEE2-15CEDF3D6333}"/>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253" name="Oval 252">
            <a:extLst>
              <a:ext uri="{FF2B5EF4-FFF2-40B4-BE49-F238E27FC236}">
                <a16:creationId xmlns:a16="http://schemas.microsoft.com/office/drawing/2014/main" id="{3BE64BA3-DE49-D48A-4280-10723D763B4F}"/>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331852</xdr:rowOff>
    </xdr:from>
    <xdr:to>
      <xdr:col>0</xdr:col>
      <xdr:colOff>1715516</xdr:colOff>
      <xdr:row>7</xdr:row>
      <xdr:rowOff>225377</xdr:rowOff>
    </xdr:to>
    <xdr:grpSp>
      <xdr:nvGrpSpPr>
        <xdr:cNvPr id="132" name="Group 131">
          <a:extLst>
            <a:ext uri="{FF2B5EF4-FFF2-40B4-BE49-F238E27FC236}">
              <a16:creationId xmlns:a16="http://schemas.microsoft.com/office/drawing/2014/main" id="{55484335-5279-C345-1ED3-9A76E0A7CB46}"/>
            </a:ext>
          </a:extLst>
        </xdr:cNvPr>
        <xdr:cNvGrpSpPr/>
      </xdr:nvGrpSpPr>
      <xdr:grpSpPr>
        <a:xfrm>
          <a:off x="12799" y="2573402"/>
          <a:ext cx="1702717" cy="445975"/>
          <a:chOff x="13317" y="2459028"/>
          <a:chExt cx="1720554" cy="441552"/>
        </a:xfrm>
      </xdr:grpSpPr>
      <xdr:sp macro="" textlink="">
        <xdr:nvSpPr>
          <xdr:cNvPr id="248" name="Rectangle: Rounded Corners 247">
            <a:extLst>
              <a:ext uri="{FF2B5EF4-FFF2-40B4-BE49-F238E27FC236}">
                <a16:creationId xmlns:a16="http://schemas.microsoft.com/office/drawing/2014/main" id="{691636E1-2294-F818-E604-B68856B6A449}"/>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9" name="TextBox 248">
            <a:hlinkClick xmlns:r="http://schemas.openxmlformats.org/officeDocument/2006/relationships" r:id="rId7"/>
            <a:extLst>
              <a:ext uri="{FF2B5EF4-FFF2-40B4-BE49-F238E27FC236}">
                <a16:creationId xmlns:a16="http://schemas.microsoft.com/office/drawing/2014/main" id="{17DF9D71-D362-E5CF-8449-BE971FEF482E}"/>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250" name="Oval 249">
            <a:extLst>
              <a:ext uri="{FF2B5EF4-FFF2-40B4-BE49-F238E27FC236}">
                <a16:creationId xmlns:a16="http://schemas.microsoft.com/office/drawing/2014/main" id="{6FF83B9B-84E9-AE4A-BE9E-5958B278CD9C}"/>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7</xdr:row>
      <xdr:rowOff>239656</xdr:rowOff>
    </xdr:from>
    <xdr:to>
      <xdr:col>0</xdr:col>
      <xdr:colOff>1713076</xdr:colOff>
      <xdr:row>8</xdr:row>
      <xdr:rowOff>146052</xdr:rowOff>
    </xdr:to>
    <xdr:grpSp>
      <xdr:nvGrpSpPr>
        <xdr:cNvPr id="133" name="Group 132">
          <a:extLst>
            <a:ext uri="{FF2B5EF4-FFF2-40B4-BE49-F238E27FC236}">
              <a16:creationId xmlns:a16="http://schemas.microsoft.com/office/drawing/2014/main" id="{45C6799C-B8BA-C798-0ECC-7F4451F7018C}"/>
            </a:ext>
          </a:extLst>
        </xdr:cNvPr>
        <xdr:cNvGrpSpPr/>
      </xdr:nvGrpSpPr>
      <xdr:grpSpPr>
        <a:xfrm>
          <a:off x="8181" y="3033656"/>
          <a:ext cx="1704895" cy="458846"/>
          <a:chOff x="8513" y="2976867"/>
          <a:chExt cx="1722818" cy="451725"/>
        </a:xfrm>
      </xdr:grpSpPr>
      <xdr:sp macro="" textlink="">
        <xdr:nvSpPr>
          <xdr:cNvPr id="244" name="Rectangle: Rounded Corners 243">
            <a:extLst>
              <a:ext uri="{FF2B5EF4-FFF2-40B4-BE49-F238E27FC236}">
                <a16:creationId xmlns:a16="http://schemas.microsoft.com/office/drawing/2014/main" id="{90852A5F-9A02-218B-B92C-5A0B2157C560}"/>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5" name="TextBox 244">
            <a:hlinkClick xmlns:r="http://schemas.openxmlformats.org/officeDocument/2006/relationships" r:id="rId7"/>
            <a:extLst>
              <a:ext uri="{FF2B5EF4-FFF2-40B4-BE49-F238E27FC236}">
                <a16:creationId xmlns:a16="http://schemas.microsoft.com/office/drawing/2014/main" id="{7FA155FD-8DA7-32CE-8807-F72411E22297}"/>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46" name="Oval 245">
            <a:extLst>
              <a:ext uri="{FF2B5EF4-FFF2-40B4-BE49-F238E27FC236}">
                <a16:creationId xmlns:a16="http://schemas.microsoft.com/office/drawing/2014/main" id="{9BEB23A3-630A-4556-E3F9-47E3BDE77446}"/>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7" name="TextBox 246">
            <a:hlinkClick xmlns:r="http://schemas.openxmlformats.org/officeDocument/2006/relationships" r:id="rId8"/>
            <a:extLst>
              <a:ext uri="{FF2B5EF4-FFF2-40B4-BE49-F238E27FC236}">
                <a16:creationId xmlns:a16="http://schemas.microsoft.com/office/drawing/2014/main" id="{8CAB1E78-2BB4-8422-7C5E-20DEB8D8055E}"/>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210064</xdr:rowOff>
    </xdr:to>
    <xdr:grpSp>
      <xdr:nvGrpSpPr>
        <xdr:cNvPr id="134" name="Group 133">
          <a:extLst>
            <a:ext uri="{FF2B5EF4-FFF2-40B4-BE49-F238E27FC236}">
              <a16:creationId xmlns:a16="http://schemas.microsoft.com/office/drawing/2014/main" id="{DB3F1596-94B6-CD34-58D2-B1C4351059A2}"/>
            </a:ext>
          </a:extLst>
        </xdr:cNvPr>
        <xdr:cNvGrpSpPr/>
      </xdr:nvGrpSpPr>
      <xdr:grpSpPr>
        <a:xfrm>
          <a:off x="11772" y="1596375"/>
          <a:ext cx="1704895" cy="486939"/>
          <a:chOff x="21544" y="1467318"/>
          <a:chExt cx="1724265" cy="477164"/>
        </a:xfrm>
      </xdr:grpSpPr>
      <xdr:sp macro="" textlink="">
        <xdr:nvSpPr>
          <xdr:cNvPr id="241" name="Rectangle: Rounded Corners 240">
            <a:extLst>
              <a:ext uri="{FF2B5EF4-FFF2-40B4-BE49-F238E27FC236}">
                <a16:creationId xmlns:a16="http://schemas.microsoft.com/office/drawing/2014/main" id="{81CC56FB-E62B-6980-53B3-B450800A1105}"/>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2" name="TextBox 241">
            <a:hlinkClick xmlns:r="http://schemas.openxmlformats.org/officeDocument/2006/relationships" r:id="rId9"/>
            <a:extLst>
              <a:ext uri="{FF2B5EF4-FFF2-40B4-BE49-F238E27FC236}">
                <a16:creationId xmlns:a16="http://schemas.microsoft.com/office/drawing/2014/main" id="{567CFD99-0C5E-B3CC-49F2-D04ABEB2189B}"/>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243" name="Oval 242">
            <a:extLst>
              <a:ext uri="{FF2B5EF4-FFF2-40B4-BE49-F238E27FC236}">
                <a16:creationId xmlns:a16="http://schemas.microsoft.com/office/drawing/2014/main" id="{998DD439-2C57-2875-4F29-B61C69418B03}"/>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8</xdr:row>
      <xdr:rowOff>159236</xdr:rowOff>
    </xdr:from>
    <xdr:to>
      <xdr:col>0</xdr:col>
      <xdr:colOff>1713094</xdr:colOff>
      <xdr:row>9</xdr:row>
      <xdr:rowOff>274455</xdr:rowOff>
    </xdr:to>
    <xdr:grpSp>
      <xdr:nvGrpSpPr>
        <xdr:cNvPr id="135" name="Group 134">
          <a:extLst>
            <a:ext uri="{FF2B5EF4-FFF2-40B4-BE49-F238E27FC236}">
              <a16:creationId xmlns:a16="http://schemas.microsoft.com/office/drawing/2014/main" id="{4E16BDAF-148F-517E-E16D-479A8F43955F}"/>
            </a:ext>
          </a:extLst>
        </xdr:cNvPr>
        <xdr:cNvGrpSpPr/>
      </xdr:nvGrpSpPr>
      <xdr:grpSpPr>
        <a:xfrm>
          <a:off x="8199" y="3505686"/>
          <a:ext cx="1704895" cy="483519"/>
          <a:chOff x="8532" y="3456662"/>
          <a:chExt cx="1722818" cy="482122"/>
        </a:xfrm>
      </xdr:grpSpPr>
      <xdr:sp macro="" textlink="">
        <xdr:nvSpPr>
          <xdr:cNvPr id="237" name="Rectangle: Rounded Corners 236">
            <a:extLst>
              <a:ext uri="{FF2B5EF4-FFF2-40B4-BE49-F238E27FC236}">
                <a16:creationId xmlns:a16="http://schemas.microsoft.com/office/drawing/2014/main" id="{CA96E1E4-4B1D-F786-F17D-DEEAB78D58E8}"/>
              </a:ext>
            </a:extLst>
          </xdr:cNvPr>
          <xdr:cNvSpPr/>
        </xdr:nvSpPr>
        <xdr:spPr>
          <a:xfrm>
            <a:off x="8532" y="3463210"/>
            <a:ext cx="1706703" cy="475383"/>
          </a:xfrm>
          <a:prstGeom prst="roundRect">
            <a:avLst>
              <a:gd name="adj" fmla="val 6708"/>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8" name="TextBox 237">
            <a:hlinkClick xmlns:r="http://schemas.openxmlformats.org/officeDocument/2006/relationships" r:id="rId10"/>
            <a:extLst>
              <a:ext uri="{FF2B5EF4-FFF2-40B4-BE49-F238E27FC236}">
                <a16:creationId xmlns:a16="http://schemas.microsoft.com/office/drawing/2014/main" id="{DB7A58C2-66E7-157C-CFC1-BC568D6B3D15}"/>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239" name="Oval 238">
            <a:extLst>
              <a:ext uri="{FF2B5EF4-FFF2-40B4-BE49-F238E27FC236}">
                <a16:creationId xmlns:a16="http://schemas.microsoft.com/office/drawing/2014/main" id="{B2D151D2-528A-8F80-7F36-346D3A2262BD}"/>
              </a:ext>
            </a:extLst>
          </xdr:cNvPr>
          <xdr:cNvSpPr/>
        </xdr:nvSpPr>
        <xdr:spPr>
          <a:xfrm>
            <a:off x="102988" y="3545646"/>
            <a:ext cx="285750" cy="309666"/>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0" name="TextBox 239">
            <a:hlinkClick xmlns:r="http://schemas.openxmlformats.org/officeDocument/2006/relationships" r:id="rId10"/>
            <a:extLst>
              <a:ext uri="{FF2B5EF4-FFF2-40B4-BE49-F238E27FC236}">
                <a16:creationId xmlns:a16="http://schemas.microsoft.com/office/drawing/2014/main" id="{42520AD2-5508-881D-3044-5CB0593D6B87}"/>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bg1"/>
                </a:solidFill>
              </a:rPr>
              <a:t>Pesticides Act</a:t>
            </a:r>
          </a:p>
        </xdr:txBody>
      </xdr:sp>
    </xdr:grpSp>
    <xdr:clientData/>
  </xdr:twoCellAnchor>
  <xdr:twoCellAnchor>
    <xdr:from>
      <xdr:col>0</xdr:col>
      <xdr:colOff>6077</xdr:colOff>
      <xdr:row>9</xdr:row>
      <xdr:rowOff>287253</xdr:rowOff>
    </xdr:from>
    <xdr:to>
      <xdr:col>0</xdr:col>
      <xdr:colOff>1713246</xdr:colOff>
      <xdr:row>11</xdr:row>
      <xdr:rowOff>12460</xdr:rowOff>
    </xdr:to>
    <xdr:grpSp>
      <xdr:nvGrpSpPr>
        <xdr:cNvPr id="136" name="Group 135">
          <a:extLst>
            <a:ext uri="{FF2B5EF4-FFF2-40B4-BE49-F238E27FC236}">
              <a16:creationId xmlns:a16="http://schemas.microsoft.com/office/drawing/2014/main" id="{9C69AC1A-7741-CEC7-BDD7-749838D4FAC1}"/>
            </a:ext>
          </a:extLst>
        </xdr:cNvPr>
        <xdr:cNvGrpSpPr/>
      </xdr:nvGrpSpPr>
      <xdr:grpSpPr>
        <a:xfrm>
          <a:off x="6077" y="4002003"/>
          <a:ext cx="1707169" cy="461807"/>
          <a:chOff x="6323" y="3964228"/>
          <a:chExt cx="1725184" cy="454551"/>
        </a:xfrm>
      </xdr:grpSpPr>
      <xdr:sp macro="" textlink="">
        <xdr:nvSpPr>
          <xdr:cNvPr id="233" name="Rectangle: Rounded Corners 232">
            <a:extLst>
              <a:ext uri="{FF2B5EF4-FFF2-40B4-BE49-F238E27FC236}">
                <a16:creationId xmlns:a16="http://schemas.microsoft.com/office/drawing/2014/main" id="{25AEC371-67A0-8490-505E-BF496DD4BCDB}"/>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4" name="TextBox 233">
            <a:hlinkClick xmlns:r="http://schemas.openxmlformats.org/officeDocument/2006/relationships" r:id="rId11"/>
            <a:extLst>
              <a:ext uri="{FF2B5EF4-FFF2-40B4-BE49-F238E27FC236}">
                <a16:creationId xmlns:a16="http://schemas.microsoft.com/office/drawing/2014/main" id="{BD4A0B0B-DAD0-B534-8DC8-5E395D516BA2}"/>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5" name="Oval 234">
            <a:extLst>
              <a:ext uri="{FF2B5EF4-FFF2-40B4-BE49-F238E27FC236}">
                <a16:creationId xmlns:a16="http://schemas.microsoft.com/office/drawing/2014/main" id="{AD10DADB-E415-5B9F-FBB7-30BE15B3CA7C}"/>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6" name="TextBox 235">
            <a:hlinkClick xmlns:r="http://schemas.openxmlformats.org/officeDocument/2006/relationships" r:id="rId11"/>
            <a:extLst>
              <a:ext uri="{FF2B5EF4-FFF2-40B4-BE49-F238E27FC236}">
                <a16:creationId xmlns:a16="http://schemas.microsoft.com/office/drawing/2014/main" id="{CEB5C332-7726-B662-8D10-8F53E108F94A}"/>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11</xdr:row>
      <xdr:rowOff>29690</xdr:rowOff>
    </xdr:from>
    <xdr:to>
      <xdr:col>0</xdr:col>
      <xdr:colOff>1709917</xdr:colOff>
      <xdr:row>11</xdr:row>
      <xdr:rowOff>524308</xdr:rowOff>
    </xdr:to>
    <xdr:grpSp>
      <xdr:nvGrpSpPr>
        <xdr:cNvPr id="137" name="Group 136">
          <a:extLst>
            <a:ext uri="{FF2B5EF4-FFF2-40B4-BE49-F238E27FC236}">
              <a16:creationId xmlns:a16="http://schemas.microsoft.com/office/drawing/2014/main" id="{62402D75-DA38-C7C9-24BF-E746D7687B08}"/>
            </a:ext>
          </a:extLst>
        </xdr:cNvPr>
        <xdr:cNvGrpSpPr/>
      </xdr:nvGrpSpPr>
      <xdr:grpSpPr>
        <a:xfrm>
          <a:off x="2748" y="4481040"/>
          <a:ext cx="1707169" cy="494618"/>
          <a:chOff x="2860" y="4442071"/>
          <a:chExt cx="1725184" cy="485874"/>
        </a:xfrm>
      </xdr:grpSpPr>
      <xdr:sp macro="" textlink="">
        <xdr:nvSpPr>
          <xdr:cNvPr id="229" name="Rectangle: Rounded Corners 228">
            <a:extLst>
              <a:ext uri="{FF2B5EF4-FFF2-40B4-BE49-F238E27FC236}">
                <a16:creationId xmlns:a16="http://schemas.microsoft.com/office/drawing/2014/main" id="{0B350ECC-A156-F46D-A9D5-504B43C54F2E}"/>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0" name="TextBox 229">
            <a:hlinkClick xmlns:r="http://schemas.openxmlformats.org/officeDocument/2006/relationships" r:id="rId12"/>
            <a:extLst>
              <a:ext uri="{FF2B5EF4-FFF2-40B4-BE49-F238E27FC236}">
                <a16:creationId xmlns:a16="http://schemas.microsoft.com/office/drawing/2014/main" id="{AFA32B42-4EBE-93A0-6559-FF4966C0D779}"/>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1" name="Oval 230">
            <a:extLst>
              <a:ext uri="{FF2B5EF4-FFF2-40B4-BE49-F238E27FC236}">
                <a16:creationId xmlns:a16="http://schemas.microsoft.com/office/drawing/2014/main" id="{A460911C-82F5-751E-6AEB-07D5A332A26A}"/>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2" name="TextBox 231">
            <a:hlinkClick xmlns:r="http://schemas.openxmlformats.org/officeDocument/2006/relationships" r:id="rId12"/>
            <a:extLst>
              <a:ext uri="{FF2B5EF4-FFF2-40B4-BE49-F238E27FC236}">
                <a16:creationId xmlns:a16="http://schemas.microsoft.com/office/drawing/2014/main" id="{29B67686-4071-ABC5-FEFA-64F9317236F2}"/>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11</xdr:row>
      <xdr:rowOff>546647</xdr:rowOff>
    </xdr:from>
    <xdr:to>
      <xdr:col>0</xdr:col>
      <xdr:colOff>1709302</xdr:colOff>
      <xdr:row>12</xdr:row>
      <xdr:rowOff>450531</xdr:rowOff>
    </xdr:to>
    <xdr:grpSp>
      <xdr:nvGrpSpPr>
        <xdr:cNvPr id="138" name="Group 137">
          <a:extLst>
            <a:ext uri="{FF2B5EF4-FFF2-40B4-BE49-F238E27FC236}">
              <a16:creationId xmlns:a16="http://schemas.microsoft.com/office/drawing/2014/main" id="{E3677223-665A-8DBB-7A80-D49E8E6B8B23}"/>
            </a:ext>
          </a:extLst>
        </xdr:cNvPr>
        <xdr:cNvGrpSpPr/>
      </xdr:nvGrpSpPr>
      <xdr:grpSpPr>
        <a:xfrm>
          <a:off x="2133" y="4997997"/>
          <a:ext cx="1707169" cy="456334"/>
          <a:chOff x="2219" y="4949272"/>
          <a:chExt cx="1725184" cy="456170"/>
        </a:xfrm>
      </xdr:grpSpPr>
      <xdr:sp macro="" textlink="">
        <xdr:nvSpPr>
          <xdr:cNvPr id="225" name="Rectangle: Rounded Corners 224">
            <a:extLst>
              <a:ext uri="{FF2B5EF4-FFF2-40B4-BE49-F238E27FC236}">
                <a16:creationId xmlns:a16="http://schemas.microsoft.com/office/drawing/2014/main" id="{A81829DA-A196-DBFA-B420-4CCC05CECEC7}"/>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6" name="TextBox 225">
            <a:hlinkClick xmlns:r="http://schemas.openxmlformats.org/officeDocument/2006/relationships" r:id="rId13"/>
            <a:extLst>
              <a:ext uri="{FF2B5EF4-FFF2-40B4-BE49-F238E27FC236}">
                <a16:creationId xmlns:a16="http://schemas.microsoft.com/office/drawing/2014/main" id="{705B61E9-593B-EF6A-5B58-CB336CFB57DE}"/>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7" name="Oval 226">
            <a:extLst>
              <a:ext uri="{FF2B5EF4-FFF2-40B4-BE49-F238E27FC236}">
                <a16:creationId xmlns:a16="http://schemas.microsoft.com/office/drawing/2014/main" id="{37888918-ADD7-AADB-3608-9D36C4AA4F5C}"/>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8" name="TextBox 227">
            <a:hlinkClick xmlns:r="http://schemas.openxmlformats.org/officeDocument/2006/relationships" r:id="rId13"/>
            <a:extLst>
              <a:ext uri="{FF2B5EF4-FFF2-40B4-BE49-F238E27FC236}">
                <a16:creationId xmlns:a16="http://schemas.microsoft.com/office/drawing/2014/main" id="{B5A599C4-B95C-E9C6-4AB7-5BC8E4A88A18}"/>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12</xdr:row>
      <xdr:rowOff>469448</xdr:rowOff>
    </xdr:from>
    <xdr:to>
      <xdr:col>0</xdr:col>
      <xdr:colOff>1709298</xdr:colOff>
      <xdr:row>14</xdr:row>
      <xdr:rowOff>38044</xdr:rowOff>
    </xdr:to>
    <xdr:grpSp>
      <xdr:nvGrpSpPr>
        <xdr:cNvPr id="139" name="Group 138">
          <a:extLst>
            <a:ext uri="{FF2B5EF4-FFF2-40B4-BE49-F238E27FC236}">
              <a16:creationId xmlns:a16="http://schemas.microsoft.com/office/drawing/2014/main" id="{0FE4D36F-5D24-3F4A-2BB7-65A7F413FD24}"/>
            </a:ext>
          </a:extLst>
        </xdr:cNvPr>
        <xdr:cNvGrpSpPr/>
      </xdr:nvGrpSpPr>
      <xdr:grpSpPr>
        <a:xfrm>
          <a:off x="2129" y="5473248"/>
          <a:ext cx="1707169" cy="489346"/>
          <a:chOff x="2215" y="5434042"/>
          <a:chExt cx="1725184" cy="486597"/>
        </a:xfrm>
      </xdr:grpSpPr>
      <xdr:sp macro="" textlink="">
        <xdr:nvSpPr>
          <xdr:cNvPr id="221" name="Rectangle: Rounded Corners 220">
            <a:extLst>
              <a:ext uri="{FF2B5EF4-FFF2-40B4-BE49-F238E27FC236}">
                <a16:creationId xmlns:a16="http://schemas.microsoft.com/office/drawing/2014/main" id="{13E02167-6535-197A-B20F-63603780B2D7}"/>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2" name="TextBox 221">
            <a:hlinkClick xmlns:r="http://schemas.openxmlformats.org/officeDocument/2006/relationships" r:id="rId14"/>
            <a:extLst>
              <a:ext uri="{FF2B5EF4-FFF2-40B4-BE49-F238E27FC236}">
                <a16:creationId xmlns:a16="http://schemas.microsoft.com/office/drawing/2014/main" id="{C7B77755-9259-1850-9D92-4C5B528AEFAC}"/>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3" name="Oval 222">
            <a:extLst>
              <a:ext uri="{FF2B5EF4-FFF2-40B4-BE49-F238E27FC236}">
                <a16:creationId xmlns:a16="http://schemas.microsoft.com/office/drawing/2014/main" id="{92C8D2AC-6DDC-2CE8-B8B9-E07A752E8036}"/>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4" name="TextBox 223">
            <a:hlinkClick xmlns:r="http://schemas.openxmlformats.org/officeDocument/2006/relationships" r:id="rId14"/>
            <a:extLst>
              <a:ext uri="{FF2B5EF4-FFF2-40B4-BE49-F238E27FC236}">
                <a16:creationId xmlns:a16="http://schemas.microsoft.com/office/drawing/2014/main" id="{019832D4-66D6-6431-CF70-DBACD15BEF60}"/>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14</xdr:row>
      <xdr:rowOff>55899</xdr:rowOff>
    </xdr:from>
    <xdr:to>
      <xdr:col>0</xdr:col>
      <xdr:colOff>1709296</xdr:colOff>
      <xdr:row>15</xdr:row>
      <xdr:rowOff>182217</xdr:rowOff>
    </xdr:to>
    <xdr:grpSp>
      <xdr:nvGrpSpPr>
        <xdr:cNvPr id="140" name="Group 139">
          <a:extLst>
            <a:ext uri="{FF2B5EF4-FFF2-40B4-BE49-F238E27FC236}">
              <a16:creationId xmlns:a16="http://schemas.microsoft.com/office/drawing/2014/main" id="{4F69EFF4-4E7F-3C6F-4317-EB400766D1BC}"/>
            </a:ext>
          </a:extLst>
        </xdr:cNvPr>
        <xdr:cNvGrpSpPr/>
      </xdr:nvGrpSpPr>
      <xdr:grpSpPr>
        <a:xfrm>
          <a:off x="2127" y="5980449"/>
          <a:ext cx="1707169" cy="494618"/>
          <a:chOff x="2213" y="5938772"/>
          <a:chExt cx="1725184" cy="485874"/>
        </a:xfrm>
      </xdr:grpSpPr>
      <xdr:sp macro="" textlink="">
        <xdr:nvSpPr>
          <xdr:cNvPr id="217" name="Rectangle: Rounded Corners 216">
            <a:extLst>
              <a:ext uri="{FF2B5EF4-FFF2-40B4-BE49-F238E27FC236}">
                <a16:creationId xmlns:a16="http://schemas.microsoft.com/office/drawing/2014/main" id="{49A8DCC3-988E-F91B-F4E0-DE491AEAB34B}"/>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8" name="TextBox 217">
            <a:hlinkClick xmlns:r="http://schemas.openxmlformats.org/officeDocument/2006/relationships" r:id="rId15"/>
            <a:extLst>
              <a:ext uri="{FF2B5EF4-FFF2-40B4-BE49-F238E27FC236}">
                <a16:creationId xmlns:a16="http://schemas.microsoft.com/office/drawing/2014/main" id="{6D9C22A9-C17B-E82B-99A2-AF53FB106A41}"/>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9" name="Oval 218">
            <a:extLst>
              <a:ext uri="{FF2B5EF4-FFF2-40B4-BE49-F238E27FC236}">
                <a16:creationId xmlns:a16="http://schemas.microsoft.com/office/drawing/2014/main" id="{9F2EC0AB-3691-3D77-5C5B-89378A866EE9}"/>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0" name="TextBox 219">
            <a:hlinkClick xmlns:r="http://schemas.openxmlformats.org/officeDocument/2006/relationships" r:id="rId15"/>
            <a:extLst>
              <a:ext uri="{FF2B5EF4-FFF2-40B4-BE49-F238E27FC236}">
                <a16:creationId xmlns:a16="http://schemas.microsoft.com/office/drawing/2014/main" id="{66191357-8C61-0279-1AEC-469C03AADAE6}"/>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15</xdr:row>
      <xdr:rowOff>202007</xdr:rowOff>
    </xdr:from>
    <xdr:to>
      <xdr:col>0</xdr:col>
      <xdr:colOff>1708011</xdr:colOff>
      <xdr:row>16</xdr:row>
      <xdr:rowOff>290831</xdr:rowOff>
    </xdr:to>
    <xdr:grpSp>
      <xdr:nvGrpSpPr>
        <xdr:cNvPr id="141" name="Group 140">
          <a:extLst>
            <a:ext uri="{FF2B5EF4-FFF2-40B4-BE49-F238E27FC236}">
              <a16:creationId xmlns:a16="http://schemas.microsoft.com/office/drawing/2014/main" id="{88EE5077-D8AF-BBCC-556F-5F9EE7BD6CF8}"/>
            </a:ext>
          </a:extLst>
        </xdr:cNvPr>
        <xdr:cNvGrpSpPr/>
      </xdr:nvGrpSpPr>
      <xdr:grpSpPr>
        <a:xfrm>
          <a:off x="842" y="6494857"/>
          <a:ext cx="1707169" cy="457124"/>
          <a:chOff x="876" y="6443539"/>
          <a:chExt cx="1725184" cy="456924"/>
        </a:xfrm>
      </xdr:grpSpPr>
      <xdr:sp macro="" textlink="">
        <xdr:nvSpPr>
          <xdr:cNvPr id="213" name="Rectangle: Rounded Corners 212">
            <a:extLst>
              <a:ext uri="{FF2B5EF4-FFF2-40B4-BE49-F238E27FC236}">
                <a16:creationId xmlns:a16="http://schemas.microsoft.com/office/drawing/2014/main" id="{D634F167-F321-2673-717B-8A5FD8987A92}"/>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4" name="TextBox 213">
            <a:hlinkClick xmlns:r="http://schemas.openxmlformats.org/officeDocument/2006/relationships" r:id="rId16"/>
            <a:extLst>
              <a:ext uri="{FF2B5EF4-FFF2-40B4-BE49-F238E27FC236}">
                <a16:creationId xmlns:a16="http://schemas.microsoft.com/office/drawing/2014/main" id="{11C0D69B-A5E0-EC1C-66DB-47EF47D8B98C}"/>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5" name="Oval 214">
            <a:extLst>
              <a:ext uri="{FF2B5EF4-FFF2-40B4-BE49-F238E27FC236}">
                <a16:creationId xmlns:a16="http://schemas.microsoft.com/office/drawing/2014/main" id="{8831BA5C-1809-0E6B-32A7-574D694A5AF0}"/>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6" name="TextBox 215">
            <a:hlinkClick xmlns:r="http://schemas.openxmlformats.org/officeDocument/2006/relationships" r:id="rId16"/>
            <a:extLst>
              <a:ext uri="{FF2B5EF4-FFF2-40B4-BE49-F238E27FC236}">
                <a16:creationId xmlns:a16="http://schemas.microsoft.com/office/drawing/2014/main" id="{52870DC7-4349-45C4-FB1A-B97625DE6107}"/>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18</xdr:row>
      <xdr:rowOff>82193</xdr:rowOff>
    </xdr:from>
    <xdr:to>
      <xdr:col>0</xdr:col>
      <xdr:colOff>1708946</xdr:colOff>
      <xdr:row>19</xdr:row>
      <xdr:rowOff>179136</xdr:rowOff>
    </xdr:to>
    <xdr:grpSp>
      <xdr:nvGrpSpPr>
        <xdr:cNvPr id="142" name="Group 141">
          <a:extLst>
            <a:ext uri="{FF2B5EF4-FFF2-40B4-BE49-F238E27FC236}">
              <a16:creationId xmlns:a16="http://schemas.microsoft.com/office/drawing/2014/main" id="{1D4564E5-1ADC-723A-73B5-08811C8C324F}"/>
            </a:ext>
          </a:extLst>
        </xdr:cNvPr>
        <xdr:cNvGrpSpPr/>
      </xdr:nvGrpSpPr>
      <xdr:grpSpPr>
        <a:xfrm>
          <a:off x="1777" y="7479943"/>
          <a:ext cx="1707169" cy="465243"/>
          <a:chOff x="1849" y="7421500"/>
          <a:chExt cx="1725184" cy="457832"/>
        </a:xfrm>
      </xdr:grpSpPr>
      <xdr:sp macro="" textlink="">
        <xdr:nvSpPr>
          <xdr:cNvPr id="209" name="Rectangle: Rounded Corners 208">
            <a:extLst>
              <a:ext uri="{FF2B5EF4-FFF2-40B4-BE49-F238E27FC236}">
                <a16:creationId xmlns:a16="http://schemas.microsoft.com/office/drawing/2014/main" id="{BD27E3AE-A95F-ECAA-FA21-EB342D8A8905}"/>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0" name="TextBox 209">
            <a:hlinkClick xmlns:r="http://schemas.openxmlformats.org/officeDocument/2006/relationships" r:id="rId17"/>
            <a:extLst>
              <a:ext uri="{FF2B5EF4-FFF2-40B4-BE49-F238E27FC236}">
                <a16:creationId xmlns:a16="http://schemas.microsoft.com/office/drawing/2014/main" id="{FEA05FEF-148A-F21D-4736-D2E552D008BB}"/>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1" name="Oval 210">
            <a:extLst>
              <a:ext uri="{FF2B5EF4-FFF2-40B4-BE49-F238E27FC236}">
                <a16:creationId xmlns:a16="http://schemas.microsoft.com/office/drawing/2014/main" id="{BC5345DB-BEF9-6F80-FC2D-7F4669277D4F}"/>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2" name="TextBox 211">
            <a:hlinkClick xmlns:r="http://schemas.openxmlformats.org/officeDocument/2006/relationships" r:id="rId17"/>
            <a:extLst>
              <a:ext uri="{FF2B5EF4-FFF2-40B4-BE49-F238E27FC236}">
                <a16:creationId xmlns:a16="http://schemas.microsoft.com/office/drawing/2014/main" id="{DFE79720-6E2E-DCB4-4306-99E856DE2AA5}"/>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19</xdr:row>
      <xdr:rowOff>206684</xdr:rowOff>
    </xdr:from>
    <xdr:to>
      <xdr:col>0</xdr:col>
      <xdr:colOff>1710873</xdr:colOff>
      <xdr:row>21</xdr:row>
      <xdr:rowOff>142679</xdr:rowOff>
    </xdr:to>
    <xdr:grpSp>
      <xdr:nvGrpSpPr>
        <xdr:cNvPr id="143" name="Group 142">
          <a:extLst>
            <a:ext uri="{FF2B5EF4-FFF2-40B4-BE49-F238E27FC236}">
              <a16:creationId xmlns:a16="http://schemas.microsoft.com/office/drawing/2014/main" id="{D6DC1CE6-3781-84F5-6479-BAB86420FB00}"/>
            </a:ext>
          </a:extLst>
        </xdr:cNvPr>
        <xdr:cNvGrpSpPr/>
      </xdr:nvGrpSpPr>
      <xdr:grpSpPr>
        <a:xfrm>
          <a:off x="3704" y="7972734"/>
          <a:ext cx="1707169" cy="488445"/>
          <a:chOff x="3854" y="7898602"/>
          <a:chExt cx="1725184" cy="486825"/>
        </a:xfrm>
      </xdr:grpSpPr>
      <xdr:sp macro="" textlink="">
        <xdr:nvSpPr>
          <xdr:cNvPr id="205" name="Rectangle: Rounded Corners 204">
            <a:extLst>
              <a:ext uri="{FF2B5EF4-FFF2-40B4-BE49-F238E27FC236}">
                <a16:creationId xmlns:a16="http://schemas.microsoft.com/office/drawing/2014/main" id="{29FBF167-C9B9-2E13-295A-D1B5E15F97E3}"/>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6" name="TextBox 205">
            <a:hlinkClick xmlns:r="http://schemas.openxmlformats.org/officeDocument/2006/relationships" r:id="rId18"/>
            <a:extLst>
              <a:ext uri="{FF2B5EF4-FFF2-40B4-BE49-F238E27FC236}">
                <a16:creationId xmlns:a16="http://schemas.microsoft.com/office/drawing/2014/main" id="{651182BB-11AB-1783-38C8-2F41566537B4}"/>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7" name="Oval 206">
            <a:extLst>
              <a:ext uri="{FF2B5EF4-FFF2-40B4-BE49-F238E27FC236}">
                <a16:creationId xmlns:a16="http://schemas.microsoft.com/office/drawing/2014/main" id="{0CB97DF2-5CFA-6F40-E49A-D2BA8431EE56}"/>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8" name="TextBox 207">
            <a:hlinkClick xmlns:r="http://schemas.openxmlformats.org/officeDocument/2006/relationships" r:id="rId18"/>
            <a:extLst>
              <a:ext uri="{FF2B5EF4-FFF2-40B4-BE49-F238E27FC236}">
                <a16:creationId xmlns:a16="http://schemas.microsoft.com/office/drawing/2014/main" id="{333959B5-4251-07C9-D8F5-79B8201E8ACF}"/>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21</xdr:row>
      <xdr:rowOff>166785</xdr:rowOff>
    </xdr:from>
    <xdr:to>
      <xdr:col>0</xdr:col>
      <xdr:colOff>1712157</xdr:colOff>
      <xdr:row>24</xdr:row>
      <xdr:rowOff>77067</xdr:rowOff>
    </xdr:to>
    <xdr:grpSp>
      <xdr:nvGrpSpPr>
        <xdr:cNvPr id="144" name="Group 143">
          <a:extLst>
            <a:ext uri="{FF2B5EF4-FFF2-40B4-BE49-F238E27FC236}">
              <a16:creationId xmlns:a16="http://schemas.microsoft.com/office/drawing/2014/main" id="{9C5ACFEB-AD9B-1066-F95C-F690E0702031}"/>
            </a:ext>
          </a:extLst>
        </xdr:cNvPr>
        <xdr:cNvGrpSpPr/>
      </xdr:nvGrpSpPr>
      <xdr:grpSpPr>
        <a:xfrm>
          <a:off x="4988" y="8485285"/>
          <a:ext cx="1707169" cy="462732"/>
          <a:chOff x="5190" y="8408439"/>
          <a:chExt cx="1725184" cy="455434"/>
        </a:xfrm>
      </xdr:grpSpPr>
      <xdr:sp macro="" textlink="">
        <xdr:nvSpPr>
          <xdr:cNvPr id="201" name="Rectangle: Rounded Corners 200">
            <a:extLst>
              <a:ext uri="{FF2B5EF4-FFF2-40B4-BE49-F238E27FC236}">
                <a16:creationId xmlns:a16="http://schemas.microsoft.com/office/drawing/2014/main" id="{27D916ED-C067-4EEA-153E-A4B2CDFC9C37}"/>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2" name="TextBox 201">
            <a:hlinkClick xmlns:r="http://schemas.openxmlformats.org/officeDocument/2006/relationships" r:id="rId19"/>
            <a:extLst>
              <a:ext uri="{FF2B5EF4-FFF2-40B4-BE49-F238E27FC236}">
                <a16:creationId xmlns:a16="http://schemas.microsoft.com/office/drawing/2014/main" id="{56896A1D-BF59-E080-C3C0-0C6278C55F58}"/>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3" name="Oval 202">
            <a:extLst>
              <a:ext uri="{FF2B5EF4-FFF2-40B4-BE49-F238E27FC236}">
                <a16:creationId xmlns:a16="http://schemas.microsoft.com/office/drawing/2014/main" id="{CE42CA20-B518-DD65-3749-4B20FCDC96AC}"/>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4" name="TextBox 203">
            <a:hlinkClick xmlns:r="http://schemas.openxmlformats.org/officeDocument/2006/relationships" r:id="rId19"/>
            <a:extLst>
              <a:ext uri="{FF2B5EF4-FFF2-40B4-BE49-F238E27FC236}">
                <a16:creationId xmlns:a16="http://schemas.microsoft.com/office/drawing/2014/main" id="{31BB27DD-E7EB-9898-CD31-B0A75EC8ED4F}"/>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24</xdr:row>
      <xdr:rowOff>89855</xdr:rowOff>
    </xdr:from>
    <xdr:to>
      <xdr:col>0</xdr:col>
      <xdr:colOff>1713207</xdr:colOff>
      <xdr:row>27</xdr:row>
      <xdr:rowOff>25282</xdr:rowOff>
    </xdr:to>
    <xdr:grpSp>
      <xdr:nvGrpSpPr>
        <xdr:cNvPr id="145" name="Group 144">
          <a:extLst>
            <a:ext uri="{FF2B5EF4-FFF2-40B4-BE49-F238E27FC236}">
              <a16:creationId xmlns:a16="http://schemas.microsoft.com/office/drawing/2014/main" id="{A8120ADE-2C56-3B1F-C6B8-95C8FE288945}"/>
            </a:ext>
          </a:extLst>
        </xdr:cNvPr>
        <xdr:cNvGrpSpPr/>
      </xdr:nvGrpSpPr>
      <xdr:grpSpPr>
        <a:xfrm>
          <a:off x="6038" y="8960805"/>
          <a:ext cx="1707169" cy="487877"/>
          <a:chOff x="6283" y="8882925"/>
          <a:chExt cx="1725184" cy="479438"/>
        </a:xfrm>
      </xdr:grpSpPr>
      <xdr:sp macro="" textlink="">
        <xdr:nvSpPr>
          <xdr:cNvPr id="197" name="Rectangle: Rounded Corners 196">
            <a:extLst>
              <a:ext uri="{FF2B5EF4-FFF2-40B4-BE49-F238E27FC236}">
                <a16:creationId xmlns:a16="http://schemas.microsoft.com/office/drawing/2014/main" id="{6DC4513D-7B30-087B-89B0-E8A34DA34BB3}"/>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8" name="TextBox 197">
            <a:hlinkClick xmlns:r="http://schemas.openxmlformats.org/officeDocument/2006/relationships" r:id="rId20"/>
            <a:extLst>
              <a:ext uri="{FF2B5EF4-FFF2-40B4-BE49-F238E27FC236}">
                <a16:creationId xmlns:a16="http://schemas.microsoft.com/office/drawing/2014/main" id="{948096E3-E3B1-0D61-8CE8-ED31CE18A819}"/>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9" name="Oval 198">
            <a:extLst>
              <a:ext uri="{FF2B5EF4-FFF2-40B4-BE49-F238E27FC236}">
                <a16:creationId xmlns:a16="http://schemas.microsoft.com/office/drawing/2014/main" id="{2FFC6FE4-8447-2446-D933-9920C7E46516}"/>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0" name="TextBox 199">
            <a:hlinkClick xmlns:r="http://schemas.openxmlformats.org/officeDocument/2006/relationships" r:id="rId20"/>
            <a:extLst>
              <a:ext uri="{FF2B5EF4-FFF2-40B4-BE49-F238E27FC236}">
                <a16:creationId xmlns:a16="http://schemas.microsoft.com/office/drawing/2014/main" id="{0E3B7836-B868-845C-9DB5-4260C86F78CB}"/>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29</xdr:row>
      <xdr:rowOff>182190</xdr:rowOff>
    </xdr:from>
    <xdr:to>
      <xdr:col>0</xdr:col>
      <xdr:colOff>1711774</xdr:colOff>
      <xdr:row>32</xdr:row>
      <xdr:rowOff>96253</xdr:rowOff>
    </xdr:to>
    <xdr:grpSp>
      <xdr:nvGrpSpPr>
        <xdr:cNvPr id="146" name="Group 145">
          <a:extLst>
            <a:ext uri="{FF2B5EF4-FFF2-40B4-BE49-F238E27FC236}">
              <a16:creationId xmlns:a16="http://schemas.microsoft.com/office/drawing/2014/main" id="{AC57763B-ABA3-B637-5D27-449CEFA55992}"/>
            </a:ext>
          </a:extLst>
        </xdr:cNvPr>
        <xdr:cNvGrpSpPr/>
      </xdr:nvGrpSpPr>
      <xdr:grpSpPr>
        <a:xfrm>
          <a:off x="4605" y="9973890"/>
          <a:ext cx="1707169" cy="466513"/>
          <a:chOff x="4792" y="9884285"/>
          <a:chExt cx="1725184" cy="459044"/>
        </a:xfrm>
      </xdr:grpSpPr>
      <xdr:sp macro="" textlink="">
        <xdr:nvSpPr>
          <xdr:cNvPr id="193" name="Rectangle: Rounded Corners 192">
            <a:extLst>
              <a:ext uri="{FF2B5EF4-FFF2-40B4-BE49-F238E27FC236}">
                <a16:creationId xmlns:a16="http://schemas.microsoft.com/office/drawing/2014/main" id="{740AB468-D7DB-2873-2606-86F2C42AD1C4}"/>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4" name="TextBox 193">
            <a:hlinkClick xmlns:r="http://schemas.openxmlformats.org/officeDocument/2006/relationships" r:id="rId21"/>
            <a:extLst>
              <a:ext uri="{FF2B5EF4-FFF2-40B4-BE49-F238E27FC236}">
                <a16:creationId xmlns:a16="http://schemas.microsoft.com/office/drawing/2014/main" id="{03B59550-3AE9-8A74-5796-71F4BE6228FF}"/>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5" name="Oval 194">
            <a:extLst>
              <a:ext uri="{FF2B5EF4-FFF2-40B4-BE49-F238E27FC236}">
                <a16:creationId xmlns:a16="http://schemas.microsoft.com/office/drawing/2014/main" id="{2E5A62DE-F6B7-6930-974F-C51D1D54B791}"/>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6" name="TextBox 195">
            <a:hlinkClick xmlns:r="http://schemas.openxmlformats.org/officeDocument/2006/relationships" r:id="rId21"/>
            <a:extLst>
              <a:ext uri="{FF2B5EF4-FFF2-40B4-BE49-F238E27FC236}">
                <a16:creationId xmlns:a16="http://schemas.microsoft.com/office/drawing/2014/main" id="{E8B5FDDA-E368-CF7A-1FC0-AE60C7AE7E9E}"/>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27</xdr:row>
      <xdr:rowOff>43265</xdr:rowOff>
    </xdr:from>
    <xdr:to>
      <xdr:col>0</xdr:col>
      <xdr:colOff>1712537</xdr:colOff>
      <xdr:row>29</xdr:row>
      <xdr:rowOff>157911</xdr:rowOff>
    </xdr:to>
    <xdr:grpSp>
      <xdr:nvGrpSpPr>
        <xdr:cNvPr id="147" name="Group 146">
          <a:extLst>
            <a:ext uri="{FF2B5EF4-FFF2-40B4-BE49-F238E27FC236}">
              <a16:creationId xmlns:a16="http://schemas.microsoft.com/office/drawing/2014/main" id="{FFD7E9EF-3249-6B1E-4336-50953CF4F23F}"/>
            </a:ext>
          </a:extLst>
        </xdr:cNvPr>
        <xdr:cNvGrpSpPr/>
      </xdr:nvGrpSpPr>
      <xdr:grpSpPr>
        <a:xfrm>
          <a:off x="5368" y="9466665"/>
          <a:ext cx="1707169" cy="482946"/>
          <a:chOff x="5586" y="9379532"/>
          <a:chExt cx="1725184" cy="481576"/>
        </a:xfrm>
      </xdr:grpSpPr>
      <xdr:sp macro="" textlink="">
        <xdr:nvSpPr>
          <xdr:cNvPr id="189" name="Rectangle: Rounded Corners 188">
            <a:extLst>
              <a:ext uri="{FF2B5EF4-FFF2-40B4-BE49-F238E27FC236}">
                <a16:creationId xmlns:a16="http://schemas.microsoft.com/office/drawing/2014/main" id="{C818BDD9-D29E-95EF-3A07-E7EA1A595D20}"/>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0" name="TextBox 189">
            <a:hlinkClick xmlns:r="http://schemas.openxmlformats.org/officeDocument/2006/relationships" r:id="rId22"/>
            <a:extLst>
              <a:ext uri="{FF2B5EF4-FFF2-40B4-BE49-F238E27FC236}">
                <a16:creationId xmlns:a16="http://schemas.microsoft.com/office/drawing/2014/main" id="{DCC4CDF6-6598-C482-C875-93DBB6F2D25D}"/>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1" name="Oval 190">
            <a:extLst>
              <a:ext uri="{FF2B5EF4-FFF2-40B4-BE49-F238E27FC236}">
                <a16:creationId xmlns:a16="http://schemas.microsoft.com/office/drawing/2014/main" id="{E0E2A7B5-96B6-F201-8931-7752CF1EE2FD}"/>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2" name="TextBox 191">
            <a:hlinkClick xmlns:r="http://schemas.openxmlformats.org/officeDocument/2006/relationships" r:id="rId22"/>
            <a:extLst>
              <a:ext uri="{FF2B5EF4-FFF2-40B4-BE49-F238E27FC236}">
                <a16:creationId xmlns:a16="http://schemas.microsoft.com/office/drawing/2014/main" id="{94AAD418-934C-AEC3-D252-11777505E40D}"/>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32</xdr:row>
      <xdr:rowOff>104652</xdr:rowOff>
    </xdr:from>
    <xdr:to>
      <xdr:col>0</xdr:col>
      <xdr:colOff>1711005</xdr:colOff>
      <xdr:row>35</xdr:row>
      <xdr:rowOff>47449</xdr:rowOff>
    </xdr:to>
    <xdr:grpSp>
      <xdr:nvGrpSpPr>
        <xdr:cNvPr id="148" name="Group 147">
          <a:extLst>
            <a:ext uri="{FF2B5EF4-FFF2-40B4-BE49-F238E27FC236}">
              <a16:creationId xmlns:a16="http://schemas.microsoft.com/office/drawing/2014/main" id="{E629A489-0AB5-CCD6-E98C-44B93BD0E500}"/>
            </a:ext>
          </a:extLst>
        </xdr:cNvPr>
        <xdr:cNvGrpSpPr/>
      </xdr:nvGrpSpPr>
      <xdr:grpSpPr>
        <a:xfrm>
          <a:off x="3836" y="10448802"/>
          <a:ext cx="1707169" cy="495247"/>
          <a:chOff x="3992" y="10358190"/>
          <a:chExt cx="1725184" cy="486476"/>
        </a:xfrm>
      </xdr:grpSpPr>
      <xdr:sp macro="" textlink="">
        <xdr:nvSpPr>
          <xdr:cNvPr id="185" name="Rectangle: Rounded Corners 184">
            <a:extLst>
              <a:ext uri="{FF2B5EF4-FFF2-40B4-BE49-F238E27FC236}">
                <a16:creationId xmlns:a16="http://schemas.microsoft.com/office/drawing/2014/main" id="{8A14BB02-4378-FE78-577C-E490CBA0595C}"/>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6" name="TextBox 185">
            <a:hlinkClick xmlns:r="http://schemas.openxmlformats.org/officeDocument/2006/relationships" r:id="rId23"/>
            <a:extLst>
              <a:ext uri="{FF2B5EF4-FFF2-40B4-BE49-F238E27FC236}">
                <a16:creationId xmlns:a16="http://schemas.microsoft.com/office/drawing/2014/main" id="{7CE03A29-5708-DFE7-9EAA-3B0BCD37E8A1}"/>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87" name="Oval 186">
            <a:extLst>
              <a:ext uri="{FF2B5EF4-FFF2-40B4-BE49-F238E27FC236}">
                <a16:creationId xmlns:a16="http://schemas.microsoft.com/office/drawing/2014/main" id="{995C4B5C-B672-11D4-22B9-01378B3C0646}"/>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8" name="TextBox 187">
            <a:hlinkClick xmlns:r="http://schemas.openxmlformats.org/officeDocument/2006/relationships" r:id="rId23"/>
            <a:extLst>
              <a:ext uri="{FF2B5EF4-FFF2-40B4-BE49-F238E27FC236}">
                <a16:creationId xmlns:a16="http://schemas.microsoft.com/office/drawing/2014/main" id="{9CFB16A4-0851-0735-5AD8-D603117C8037}"/>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35</xdr:row>
      <xdr:rowOff>64766</xdr:rowOff>
    </xdr:from>
    <xdr:to>
      <xdr:col>0</xdr:col>
      <xdr:colOff>1712668</xdr:colOff>
      <xdr:row>37</xdr:row>
      <xdr:rowOff>152044</xdr:rowOff>
    </xdr:to>
    <xdr:grpSp>
      <xdr:nvGrpSpPr>
        <xdr:cNvPr id="150" name="Group 149">
          <a:extLst>
            <a:ext uri="{FF2B5EF4-FFF2-40B4-BE49-F238E27FC236}">
              <a16:creationId xmlns:a16="http://schemas.microsoft.com/office/drawing/2014/main" id="{BAB60F50-9EED-B8C1-274B-8E42D8B08349}"/>
            </a:ext>
          </a:extLst>
        </xdr:cNvPr>
        <xdr:cNvGrpSpPr/>
      </xdr:nvGrpSpPr>
      <xdr:grpSpPr>
        <a:xfrm>
          <a:off x="5499" y="10961366"/>
          <a:ext cx="1707169" cy="455578"/>
          <a:chOff x="5723" y="10874564"/>
          <a:chExt cx="1725184" cy="455447"/>
        </a:xfrm>
      </xdr:grpSpPr>
      <xdr:sp macro="" textlink="">
        <xdr:nvSpPr>
          <xdr:cNvPr id="177" name="Rectangle: Rounded Corners 176">
            <a:extLst>
              <a:ext uri="{FF2B5EF4-FFF2-40B4-BE49-F238E27FC236}">
                <a16:creationId xmlns:a16="http://schemas.microsoft.com/office/drawing/2014/main" id="{C4A70E7F-6BBA-9870-C4F0-8209BCB075FC}"/>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24"/>
            <a:extLst>
              <a:ext uri="{FF2B5EF4-FFF2-40B4-BE49-F238E27FC236}">
                <a16:creationId xmlns:a16="http://schemas.microsoft.com/office/drawing/2014/main" id="{B2FF7772-2325-9177-2783-662F686376DB}"/>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9" name="Oval 178">
            <a:extLst>
              <a:ext uri="{FF2B5EF4-FFF2-40B4-BE49-F238E27FC236}">
                <a16:creationId xmlns:a16="http://schemas.microsoft.com/office/drawing/2014/main" id="{159C0840-4A73-CC40-78A8-7EC4F255D471}"/>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24"/>
            <a:extLst>
              <a:ext uri="{FF2B5EF4-FFF2-40B4-BE49-F238E27FC236}">
                <a16:creationId xmlns:a16="http://schemas.microsoft.com/office/drawing/2014/main" id="{2F7AD111-4B5E-8D1C-3B5F-AE5EAFAFC36E}"/>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37</xdr:row>
      <xdr:rowOff>170882</xdr:rowOff>
    </xdr:from>
    <xdr:to>
      <xdr:col>0</xdr:col>
      <xdr:colOff>1711471</xdr:colOff>
      <xdr:row>40</xdr:row>
      <xdr:rowOff>106909</xdr:rowOff>
    </xdr:to>
    <xdr:grpSp>
      <xdr:nvGrpSpPr>
        <xdr:cNvPr id="151" name="Group 150">
          <a:extLst>
            <a:ext uri="{FF2B5EF4-FFF2-40B4-BE49-F238E27FC236}">
              <a16:creationId xmlns:a16="http://schemas.microsoft.com/office/drawing/2014/main" id="{0CB0E89C-D866-E295-62E6-30A3C8D367C2}"/>
            </a:ext>
          </a:extLst>
        </xdr:cNvPr>
        <xdr:cNvGrpSpPr/>
      </xdr:nvGrpSpPr>
      <xdr:grpSpPr>
        <a:xfrm>
          <a:off x="4302" y="11435782"/>
          <a:ext cx="1707169" cy="488477"/>
          <a:chOff x="4477" y="11347997"/>
          <a:chExt cx="1725184" cy="480012"/>
        </a:xfrm>
      </xdr:grpSpPr>
      <xdr:sp macro="" textlink="">
        <xdr:nvSpPr>
          <xdr:cNvPr id="173" name="Rectangle: Rounded Corners 172">
            <a:extLst>
              <a:ext uri="{FF2B5EF4-FFF2-40B4-BE49-F238E27FC236}">
                <a16:creationId xmlns:a16="http://schemas.microsoft.com/office/drawing/2014/main" id="{5DF4643E-E0E2-74FD-660D-0976C33DFD8B}"/>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25"/>
            <a:extLst>
              <a:ext uri="{FF2B5EF4-FFF2-40B4-BE49-F238E27FC236}">
                <a16:creationId xmlns:a16="http://schemas.microsoft.com/office/drawing/2014/main" id="{BE2CFFB8-1524-DA6C-C0D2-10084EF40EFD}"/>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5" name="Oval 174">
            <a:extLst>
              <a:ext uri="{FF2B5EF4-FFF2-40B4-BE49-F238E27FC236}">
                <a16:creationId xmlns:a16="http://schemas.microsoft.com/office/drawing/2014/main" id="{506D8C69-8B6D-0E94-F122-9FA0244464B5}"/>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25"/>
            <a:extLst>
              <a:ext uri="{FF2B5EF4-FFF2-40B4-BE49-F238E27FC236}">
                <a16:creationId xmlns:a16="http://schemas.microsoft.com/office/drawing/2014/main" id="{1BA8EAF7-AC91-603E-2305-DA02F3C1C07D}"/>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16</xdr:row>
      <xdr:rowOff>309897</xdr:rowOff>
    </xdr:from>
    <xdr:to>
      <xdr:col>0</xdr:col>
      <xdr:colOff>1707169</xdr:colOff>
      <xdr:row>18</xdr:row>
      <xdr:rowOff>58716</xdr:rowOff>
    </xdr:to>
    <xdr:grpSp>
      <xdr:nvGrpSpPr>
        <xdr:cNvPr id="152" name="Group 151">
          <a:extLst>
            <a:ext uri="{FF2B5EF4-FFF2-40B4-BE49-F238E27FC236}">
              <a16:creationId xmlns:a16="http://schemas.microsoft.com/office/drawing/2014/main" id="{5E561AFF-963F-8CF6-B68D-881A7F716486}"/>
            </a:ext>
          </a:extLst>
        </xdr:cNvPr>
        <xdr:cNvGrpSpPr/>
      </xdr:nvGrpSpPr>
      <xdr:grpSpPr>
        <a:xfrm>
          <a:off x="0" y="6971047"/>
          <a:ext cx="1707169" cy="485419"/>
          <a:chOff x="0" y="6922179"/>
          <a:chExt cx="1725184" cy="482848"/>
        </a:xfrm>
      </xdr:grpSpPr>
      <xdr:sp macro="" textlink="">
        <xdr:nvSpPr>
          <xdr:cNvPr id="169" name="Rectangle: Rounded Corners 168">
            <a:extLst>
              <a:ext uri="{FF2B5EF4-FFF2-40B4-BE49-F238E27FC236}">
                <a16:creationId xmlns:a16="http://schemas.microsoft.com/office/drawing/2014/main" id="{D34D81F9-B0F2-D5D7-F166-0D9283940AE1}"/>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16"/>
            <a:extLst>
              <a:ext uri="{FF2B5EF4-FFF2-40B4-BE49-F238E27FC236}">
                <a16:creationId xmlns:a16="http://schemas.microsoft.com/office/drawing/2014/main" id="{A61ECEE2-2F31-0D5A-E5A8-87DED290A808}"/>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1" name="Oval 170">
            <a:extLst>
              <a:ext uri="{FF2B5EF4-FFF2-40B4-BE49-F238E27FC236}">
                <a16:creationId xmlns:a16="http://schemas.microsoft.com/office/drawing/2014/main" id="{06B2637D-0405-CC6E-A7F9-476F56C3A552}"/>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26"/>
            <a:extLst>
              <a:ext uri="{FF2B5EF4-FFF2-40B4-BE49-F238E27FC236}">
                <a16:creationId xmlns:a16="http://schemas.microsoft.com/office/drawing/2014/main" id="{151B5288-475C-B984-8BCE-D7BEE14F1F39}"/>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40</xdr:row>
      <xdr:rowOff>119454</xdr:rowOff>
    </xdr:from>
    <xdr:to>
      <xdr:col>0</xdr:col>
      <xdr:colOff>1711953</xdr:colOff>
      <xdr:row>43</xdr:row>
      <xdr:rowOff>55481</xdr:rowOff>
    </xdr:to>
    <xdr:grpSp>
      <xdr:nvGrpSpPr>
        <xdr:cNvPr id="155" name="Group 154">
          <a:extLst>
            <a:ext uri="{FF2B5EF4-FFF2-40B4-BE49-F238E27FC236}">
              <a16:creationId xmlns:a16="http://schemas.microsoft.com/office/drawing/2014/main" id="{9E3392E6-45F3-C59A-FF1F-5FD5EFF5A359}"/>
            </a:ext>
          </a:extLst>
        </xdr:cNvPr>
        <xdr:cNvGrpSpPr/>
      </xdr:nvGrpSpPr>
      <xdr:grpSpPr>
        <a:xfrm>
          <a:off x="5742" y="11936804"/>
          <a:ext cx="1706211" cy="488477"/>
          <a:chOff x="4477" y="11347997"/>
          <a:chExt cx="1725184" cy="480012"/>
        </a:xfrm>
      </xdr:grpSpPr>
      <xdr:sp macro="" textlink="">
        <xdr:nvSpPr>
          <xdr:cNvPr id="161" name="Rectangle: Rounded Corners 160">
            <a:extLst>
              <a:ext uri="{FF2B5EF4-FFF2-40B4-BE49-F238E27FC236}">
                <a16:creationId xmlns:a16="http://schemas.microsoft.com/office/drawing/2014/main" id="{7C42EDD2-8A50-2933-6AD1-423815F253D4}"/>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2" name="TextBox 161">
            <a:hlinkClick xmlns:r="http://schemas.openxmlformats.org/officeDocument/2006/relationships" r:id="rId27"/>
            <a:extLst>
              <a:ext uri="{FF2B5EF4-FFF2-40B4-BE49-F238E27FC236}">
                <a16:creationId xmlns:a16="http://schemas.microsoft.com/office/drawing/2014/main" id="{79606671-28A6-62E1-86E2-978AE0914912}"/>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63" name="Oval 162">
            <a:extLst>
              <a:ext uri="{FF2B5EF4-FFF2-40B4-BE49-F238E27FC236}">
                <a16:creationId xmlns:a16="http://schemas.microsoft.com/office/drawing/2014/main" id="{6F3FA0CD-6513-0CB7-98FB-79C97922CCA4}"/>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64" name="TextBox 163">
            <a:hlinkClick xmlns:r="http://schemas.openxmlformats.org/officeDocument/2006/relationships" r:id="rId27"/>
            <a:extLst>
              <a:ext uri="{FF2B5EF4-FFF2-40B4-BE49-F238E27FC236}">
                <a16:creationId xmlns:a16="http://schemas.microsoft.com/office/drawing/2014/main" id="{474660C7-39D6-30ED-1856-4F848EA31C26}"/>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3" name="Group 2">
          <a:extLst>
            <a:ext uri="{FF2B5EF4-FFF2-40B4-BE49-F238E27FC236}">
              <a16:creationId xmlns:a16="http://schemas.microsoft.com/office/drawing/2014/main" id="{5BE95F44-D8CA-4D86-A2E5-208D8812635A}"/>
            </a:ext>
          </a:extLst>
        </xdr:cNvPr>
        <xdr:cNvGrpSpPr/>
      </xdr:nvGrpSpPr>
      <xdr:grpSpPr>
        <a:xfrm>
          <a:off x="10996961" y="0"/>
          <a:ext cx="0" cy="286106"/>
          <a:chOff x="7108587" y="129950"/>
          <a:chExt cx="884099" cy="287016"/>
        </a:xfrm>
      </xdr:grpSpPr>
      <xdr:pic>
        <xdr:nvPicPr>
          <xdr:cNvPr id="4" name="Graphic 3" descr="Rewind with solid fill">
            <a:hlinkClick xmlns:r="http://schemas.openxmlformats.org/officeDocument/2006/relationships" r:id="rId28"/>
            <a:extLst>
              <a:ext uri="{FF2B5EF4-FFF2-40B4-BE49-F238E27FC236}">
                <a16:creationId xmlns:a16="http://schemas.microsoft.com/office/drawing/2014/main" id="{E702F14A-4713-D22E-2090-8CEF9A041B5C}"/>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5" name="TextBox 4">
            <a:hlinkClick xmlns:r="http://schemas.openxmlformats.org/officeDocument/2006/relationships" r:id="rId28"/>
            <a:extLst>
              <a:ext uri="{FF2B5EF4-FFF2-40B4-BE49-F238E27FC236}">
                <a16:creationId xmlns:a16="http://schemas.microsoft.com/office/drawing/2014/main" id="{4EB2D70E-69FB-BDA3-B959-0BF60EAF67C8}"/>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6" name="Group 5">
          <a:extLst>
            <a:ext uri="{FF2B5EF4-FFF2-40B4-BE49-F238E27FC236}">
              <a16:creationId xmlns:a16="http://schemas.microsoft.com/office/drawing/2014/main" id="{5DCDB0E4-399F-4FF0-BDA4-5764F74F762F}"/>
            </a:ext>
          </a:extLst>
        </xdr:cNvPr>
        <xdr:cNvGrpSpPr/>
      </xdr:nvGrpSpPr>
      <xdr:grpSpPr>
        <a:xfrm>
          <a:off x="10996961" y="50800"/>
          <a:ext cx="0" cy="286106"/>
          <a:chOff x="7108587" y="129950"/>
          <a:chExt cx="884099" cy="287016"/>
        </a:xfrm>
      </xdr:grpSpPr>
      <xdr:pic>
        <xdr:nvPicPr>
          <xdr:cNvPr id="7" name="Graphic 6" descr="Rewind with solid fill">
            <a:hlinkClick xmlns:r="http://schemas.openxmlformats.org/officeDocument/2006/relationships" r:id="rId28"/>
            <a:extLst>
              <a:ext uri="{FF2B5EF4-FFF2-40B4-BE49-F238E27FC236}">
                <a16:creationId xmlns:a16="http://schemas.microsoft.com/office/drawing/2014/main" id="{F5465099-C782-EC6A-6A6C-11F14F749DB2}"/>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8" name="TextBox 7">
            <a:hlinkClick xmlns:r="http://schemas.openxmlformats.org/officeDocument/2006/relationships" r:id="rId28"/>
            <a:extLst>
              <a:ext uri="{FF2B5EF4-FFF2-40B4-BE49-F238E27FC236}">
                <a16:creationId xmlns:a16="http://schemas.microsoft.com/office/drawing/2014/main" id="{0CAB4A42-4719-4B40-2083-1D9B8EADB0F6}"/>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9" name="Group 8">
          <a:extLst>
            <a:ext uri="{FF2B5EF4-FFF2-40B4-BE49-F238E27FC236}">
              <a16:creationId xmlns:a16="http://schemas.microsoft.com/office/drawing/2014/main" id="{A05FF983-299B-4363-AD54-3D84574167BF}"/>
            </a:ext>
          </a:extLst>
        </xdr:cNvPr>
        <xdr:cNvGrpSpPr/>
      </xdr:nvGrpSpPr>
      <xdr:grpSpPr>
        <a:xfrm>
          <a:off x="10996961" y="0"/>
          <a:ext cx="0" cy="286106"/>
          <a:chOff x="7108587" y="129950"/>
          <a:chExt cx="884099" cy="287016"/>
        </a:xfrm>
      </xdr:grpSpPr>
      <xdr:pic>
        <xdr:nvPicPr>
          <xdr:cNvPr id="10" name="Graphic 9" descr="Rewind with solid fill">
            <a:hlinkClick xmlns:r="http://schemas.openxmlformats.org/officeDocument/2006/relationships" r:id="rId28"/>
            <a:extLst>
              <a:ext uri="{FF2B5EF4-FFF2-40B4-BE49-F238E27FC236}">
                <a16:creationId xmlns:a16="http://schemas.microsoft.com/office/drawing/2014/main" id="{C0F08390-66AA-81BD-26F0-20858B0115AE}"/>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1" name="TextBox 10">
            <a:hlinkClick xmlns:r="http://schemas.openxmlformats.org/officeDocument/2006/relationships" r:id="rId28"/>
            <a:extLst>
              <a:ext uri="{FF2B5EF4-FFF2-40B4-BE49-F238E27FC236}">
                <a16:creationId xmlns:a16="http://schemas.microsoft.com/office/drawing/2014/main" id="{20BC203D-35A8-2403-19F3-8FBFFA9D0266}"/>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2" name="Group 11">
          <a:extLst>
            <a:ext uri="{FF2B5EF4-FFF2-40B4-BE49-F238E27FC236}">
              <a16:creationId xmlns:a16="http://schemas.microsoft.com/office/drawing/2014/main" id="{B48AA6AC-0C68-41DF-82AC-04C3E518C4C2}"/>
            </a:ext>
          </a:extLst>
        </xdr:cNvPr>
        <xdr:cNvGrpSpPr/>
      </xdr:nvGrpSpPr>
      <xdr:grpSpPr>
        <a:xfrm>
          <a:off x="10996961" y="50800"/>
          <a:ext cx="0" cy="286106"/>
          <a:chOff x="7108587" y="129950"/>
          <a:chExt cx="884099" cy="287016"/>
        </a:xfrm>
      </xdr:grpSpPr>
      <xdr:pic>
        <xdr:nvPicPr>
          <xdr:cNvPr id="13" name="Graphic 12" descr="Rewind with solid fill">
            <a:hlinkClick xmlns:r="http://schemas.openxmlformats.org/officeDocument/2006/relationships" r:id="rId28"/>
            <a:extLst>
              <a:ext uri="{FF2B5EF4-FFF2-40B4-BE49-F238E27FC236}">
                <a16:creationId xmlns:a16="http://schemas.microsoft.com/office/drawing/2014/main" id="{AC8A8BF1-3268-CB39-29F2-DD1F308543CB}"/>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4" name="TextBox 13">
            <a:hlinkClick xmlns:r="http://schemas.openxmlformats.org/officeDocument/2006/relationships" r:id="rId28"/>
            <a:extLst>
              <a:ext uri="{FF2B5EF4-FFF2-40B4-BE49-F238E27FC236}">
                <a16:creationId xmlns:a16="http://schemas.microsoft.com/office/drawing/2014/main" id="{8F57CBD3-5A44-4708-EE23-11CF22FAAB9D}"/>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15" name="Group 14">
          <a:extLst>
            <a:ext uri="{FF2B5EF4-FFF2-40B4-BE49-F238E27FC236}">
              <a16:creationId xmlns:a16="http://schemas.microsoft.com/office/drawing/2014/main" id="{9C1C3A28-04AC-4E81-8D0E-4A6E5013E40C}"/>
            </a:ext>
          </a:extLst>
        </xdr:cNvPr>
        <xdr:cNvGrpSpPr/>
      </xdr:nvGrpSpPr>
      <xdr:grpSpPr>
        <a:xfrm>
          <a:off x="10996961" y="0"/>
          <a:ext cx="0" cy="286106"/>
          <a:chOff x="7108587" y="129950"/>
          <a:chExt cx="884099" cy="287016"/>
        </a:xfrm>
      </xdr:grpSpPr>
      <xdr:pic>
        <xdr:nvPicPr>
          <xdr:cNvPr id="16" name="Graphic 15" descr="Rewind with solid fill">
            <a:hlinkClick xmlns:r="http://schemas.openxmlformats.org/officeDocument/2006/relationships" r:id="rId28"/>
            <a:extLst>
              <a:ext uri="{FF2B5EF4-FFF2-40B4-BE49-F238E27FC236}">
                <a16:creationId xmlns:a16="http://schemas.microsoft.com/office/drawing/2014/main" id="{25B9B735-85C4-90E5-1F00-11AAC634C9A9}"/>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7" name="TextBox 16">
            <a:hlinkClick xmlns:r="http://schemas.openxmlformats.org/officeDocument/2006/relationships" r:id="rId28"/>
            <a:extLst>
              <a:ext uri="{FF2B5EF4-FFF2-40B4-BE49-F238E27FC236}">
                <a16:creationId xmlns:a16="http://schemas.microsoft.com/office/drawing/2014/main" id="{28EABD10-6FB9-593D-4FE6-6CA14816E69F}"/>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8" name="Group 17">
          <a:extLst>
            <a:ext uri="{FF2B5EF4-FFF2-40B4-BE49-F238E27FC236}">
              <a16:creationId xmlns:a16="http://schemas.microsoft.com/office/drawing/2014/main" id="{80AF1FB1-8D27-44F2-B6E4-B46943673E46}"/>
            </a:ext>
          </a:extLst>
        </xdr:cNvPr>
        <xdr:cNvGrpSpPr/>
      </xdr:nvGrpSpPr>
      <xdr:grpSpPr>
        <a:xfrm>
          <a:off x="10996961" y="50800"/>
          <a:ext cx="0" cy="286106"/>
          <a:chOff x="7108587" y="129950"/>
          <a:chExt cx="884099" cy="287016"/>
        </a:xfrm>
      </xdr:grpSpPr>
      <xdr:pic>
        <xdr:nvPicPr>
          <xdr:cNvPr id="19" name="Graphic 18" descr="Rewind with solid fill">
            <a:hlinkClick xmlns:r="http://schemas.openxmlformats.org/officeDocument/2006/relationships" r:id="rId28"/>
            <a:extLst>
              <a:ext uri="{FF2B5EF4-FFF2-40B4-BE49-F238E27FC236}">
                <a16:creationId xmlns:a16="http://schemas.microsoft.com/office/drawing/2014/main" id="{B18530BC-CAF2-84B8-16A9-0A391F8E0E52}"/>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0" name="TextBox 19">
            <a:hlinkClick xmlns:r="http://schemas.openxmlformats.org/officeDocument/2006/relationships" r:id="rId28"/>
            <a:extLst>
              <a:ext uri="{FF2B5EF4-FFF2-40B4-BE49-F238E27FC236}">
                <a16:creationId xmlns:a16="http://schemas.microsoft.com/office/drawing/2014/main" id="{B2066964-D2D0-DA05-78F0-70C9362FA256}"/>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27" name="Group 26">
          <a:extLst>
            <a:ext uri="{FF2B5EF4-FFF2-40B4-BE49-F238E27FC236}">
              <a16:creationId xmlns:a16="http://schemas.microsoft.com/office/drawing/2014/main" id="{4A814EF6-6D52-448D-B7C3-32E7DCAE1016}"/>
            </a:ext>
          </a:extLst>
        </xdr:cNvPr>
        <xdr:cNvGrpSpPr/>
      </xdr:nvGrpSpPr>
      <xdr:grpSpPr>
        <a:xfrm>
          <a:off x="9505950" y="0"/>
          <a:ext cx="774288" cy="286106"/>
          <a:chOff x="7108587" y="129950"/>
          <a:chExt cx="884099" cy="287016"/>
        </a:xfrm>
      </xdr:grpSpPr>
      <xdr:pic>
        <xdr:nvPicPr>
          <xdr:cNvPr id="28" name="Graphic 27" descr="Rewind with solid fill">
            <a:hlinkClick xmlns:r="http://schemas.openxmlformats.org/officeDocument/2006/relationships" r:id="rId28"/>
            <a:extLst>
              <a:ext uri="{FF2B5EF4-FFF2-40B4-BE49-F238E27FC236}">
                <a16:creationId xmlns:a16="http://schemas.microsoft.com/office/drawing/2014/main" id="{AD6DEE5F-E54E-198B-6643-B56788E51A47}"/>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9" name="TextBox 28">
            <a:hlinkClick xmlns:r="http://schemas.openxmlformats.org/officeDocument/2006/relationships" r:id="rId28"/>
            <a:extLst>
              <a:ext uri="{FF2B5EF4-FFF2-40B4-BE49-F238E27FC236}">
                <a16:creationId xmlns:a16="http://schemas.microsoft.com/office/drawing/2014/main" id="{7F26BECE-5011-2D50-5C92-5879EF844366}"/>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43</xdr:row>
      <xdr:rowOff>82550</xdr:rowOff>
    </xdr:from>
    <xdr:to>
      <xdr:col>0</xdr:col>
      <xdr:colOff>1713549</xdr:colOff>
      <xdr:row>55</xdr:row>
      <xdr:rowOff>105784</xdr:rowOff>
    </xdr:to>
    <xdr:grpSp>
      <xdr:nvGrpSpPr>
        <xdr:cNvPr id="30" name="Group 29">
          <a:extLst>
            <a:ext uri="{FF2B5EF4-FFF2-40B4-BE49-F238E27FC236}">
              <a16:creationId xmlns:a16="http://schemas.microsoft.com/office/drawing/2014/main" id="{A709626F-EEF6-4587-BDBC-1A666DD8E8F5}"/>
            </a:ext>
          </a:extLst>
        </xdr:cNvPr>
        <xdr:cNvGrpSpPr/>
      </xdr:nvGrpSpPr>
      <xdr:grpSpPr>
        <a:xfrm>
          <a:off x="0" y="12452350"/>
          <a:ext cx="1713549" cy="2233034"/>
          <a:chOff x="5137727" y="13144500"/>
          <a:chExt cx="1713549" cy="2252946"/>
        </a:xfrm>
      </xdr:grpSpPr>
      <xdr:grpSp>
        <xdr:nvGrpSpPr>
          <xdr:cNvPr id="31" name="Group 30">
            <a:extLst>
              <a:ext uri="{FF2B5EF4-FFF2-40B4-BE49-F238E27FC236}">
                <a16:creationId xmlns:a16="http://schemas.microsoft.com/office/drawing/2014/main" id="{031732BC-C3E6-E1EC-6970-E44640DB2499}"/>
              </a:ext>
            </a:extLst>
          </xdr:cNvPr>
          <xdr:cNvGrpSpPr/>
        </xdr:nvGrpSpPr>
        <xdr:grpSpPr>
          <a:xfrm>
            <a:off x="5144107" y="13624532"/>
            <a:ext cx="1707169" cy="465099"/>
            <a:chOff x="3415" y="11846315"/>
            <a:chExt cx="1725184" cy="456487"/>
          </a:xfrm>
        </xdr:grpSpPr>
        <xdr:sp macro="" textlink="">
          <xdr:nvSpPr>
            <xdr:cNvPr id="48" name="Rectangle: Rounded Corners 47">
              <a:extLst>
                <a:ext uri="{FF2B5EF4-FFF2-40B4-BE49-F238E27FC236}">
                  <a16:creationId xmlns:a16="http://schemas.microsoft.com/office/drawing/2014/main" id="{2BAC423F-1B44-03F8-89F6-BD49A8CDD12A}"/>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3"/>
              <a:extLst>
                <a:ext uri="{FF2B5EF4-FFF2-40B4-BE49-F238E27FC236}">
                  <a16:creationId xmlns:a16="http://schemas.microsoft.com/office/drawing/2014/main" id="{72CE1F5C-FBB5-A7C5-0DD2-03206C2D1215}"/>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50" name="Oval 49">
              <a:extLst>
                <a:ext uri="{FF2B5EF4-FFF2-40B4-BE49-F238E27FC236}">
                  <a16:creationId xmlns:a16="http://schemas.microsoft.com/office/drawing/2014/main" id="{F9BF8DA6-29D1-A949-7495-291F4D43F038}"/>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31"/>
              <a:extLst>
                <a:ext uri="{FF2B5EF4-FFF2-40B4-BE49-F238E27FC236}">
                  <a16:creationId xmlns:a16="http://schemas.microsoft.com/office/drawing/2014/main" id="{7BB18717-1191-6927-7CBE-3D8538D26126}"/>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32" name="Group 31">
            <a:extLst>
              <a:ext uri="{FF2B5EF4-FFF2-40B4-BE49-F238E27FC236}">
                <a16:creationId xmlns:a16="http://schemas.microsoft.com/office/drawing/2014/main" id="{DC57924C-1BB0-A550-3FEE-D9195C77EB47}"/>
              </a:ext>
            </a:extLst>
          </xdr:cNvPr>
          <xdr:cNvGrpSpPr/>
        </xdr:nvGrpSpPr>
        <xdr:grpSpPr>
          <a:xfrm>
            <a:off x="5141639" y="14111307"/>
            <a:ext cx="1707169" cy="494728"/>
            <a:chOff x="847" y="12324893"/>
            <a:chExt cx="1725184" cy="486884"/>
          </a:xfrm>
        </xdr:grpSpPr>
        <xdr:sp macro="" textlink="">
          <xdr:nvSpPr>
            <xdr:cNvPr id="44" name="Rectangle: Rounded Corners 43">
              <a:extLst>
                <a:ext uri="{FF2B5EF4-FFF2-40B4-BE49-F238E27FC236}">
                  <a16:creationId xmlns:a16="http://schemas.microsoft.com/office/drawing/2014/main" id="{4715D6F4-17EB-CB76-45A8-AD6DD938ED53}"/>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5" name="TextBox 44">
              <a:hlinkClick xmlns:r="http://schemas.openxmlformats.org/officeDocument/2006/relationships" r:id="rId32"/>
              <a:extLst>
                <a:ext uri="{FF2B5EF4-FFF2-40B4-BE49-F238E27FC236}">
                  <a16:creationId xmlns:a16="http://schemas.microsoft.com/office/drawing/2014/main" id="{8232E3CB-3DB0-D346-7065-DC8E510B35DF}"/>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6" name="Oval 45">
              <a:extLst>
                <a:ext uri="{FF2B5EF4-FFF2-40B4-BE49-F238E27FC236}">
                  <a16:creationId xmlns:a16="http://schemas.microsoft.com/office/drawing/2014/main" id="{B1C76F12-8D0A-DF3D-83F8-E7CB4B173747}"/>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32"/>
              <a:extLst>
                <a:ext uri="{FF2B5EF4-FFF2-40B4-BE49-F238E27FC236}">
                  <a16:creationId xmlns:a16="http://schemas.microsoft.com/office/drawing/2014/main" id="{F38B2F8E-CCC9-5F0F-E425-21FDC3C63E6A}"/>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33" name="TextBox 32">
            <a:extLst>
              <a:ext uri="{FF2B5EF4-FFF2-40B4-BE49-F238E27FC236}">
                <a16:creationId xmlns:a16="http://schemas.microsoft.com/office/drawing/2014/main" id="{B10203F0-655A-9491-F477-197627EF54E2}"/>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34" name="Group 33">
            <a:extLst>
              <a:ext uri="{FF2B5EF4-FFF2-40B4-BE49-F238E27FC236}">
                <a16:creationId xmlns:a16="http://schemas.microsoft.com/office/drawing/2014/main" id="{FBC37595-E529-C560-7FBB-282D5EC879AD}"/>
              </a:ext>
            </a:extLst>
          </xdr:cNvPr>
          <xdr:cNvGrpSpPr/>
        </xdr:nvGrpSpPr>
        <xdr:grpSpPr>
          <a:xfrm>
            <a:off x="5138008" y="14617043"/>
            <a:ext cx="1708983" cy="494290"/>
            <a:chOff x="847" y="12324893"/>
            <a:chExt cx="1725184" cy="486884"/>
          </a:xfrm>
        </xdr:grpSpPr>
        <xdr:sp macro="" textlink="">
          <xdr:nvSpPr>
            <xdr:cNvPr id="40" name="Rectangle: Rounded Corners 39">
              <a:extLst>
                <a:ext uri="{FF2B5EF4-FFF2-40B4-BE49-F238E27FC236}">
                  <a16:creationId xmlns:a16="http://schemas.microsoft.com/office/drawing/2014/main" id="{D667FECC-0390-E0AC-D302-A681E428E930}"/>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33"/>
              <a:extLst>
                <a:ext uri="{FF2B5EF4-FFF2-40B4-BE49-F238E27FC236}">
                  <a16:creationId xmlns:a16="http://schemas.microsoft.com/office/drawing/2014/main" id="{C283EAA4-5A23-BEE8-0866-1EFC09262D68}"/>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2" name="Oval 41">
              <a:extLst>
                <a:ext uri="{FF2B5EF4-FFF2-40B4-BE49-F238E27FC236}">
                  <a16:creationId xmlns:a16="http://schemas.microsoft.com/office/drawing/2014/main" id="{B919B2BF-80D2-BE62-E090-A9898EC46D11}"/>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3" name="TextBox 42">
              <a:hlinkClick xmlns:r="http://schemas.openxmlformats.org/officeDocument/2006/relationships" r:id="rId33"/>
              <a:extLst>
                <a:ext uri="{FF2B5EF4-FFF2-40B4-BE49-F238E27FC236}">
                  <a16:creationId xmlns:a16="http://schemas.microsoft.com/office/drawing/2014/main" id="{5E7FA60D-EB89-CE5F-86C7-28339E6FADE3}"/>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35" name="Group 34">
            <a:extLst>
              <a:ext uri="{FF2B5EF4-FFF2-40B4-BE49-F238E27FC236}">
                <a16:creationId xmlns:a16="http://schemas.microsoft.com/office/drawing/2014/main" id="{1A74EAEE-10F3-7215-AF82-56161FA09652}"/>
              </a:ext>
            </a:extLst>
          </xdr:cNvPr>
          <xdr:cNvGrpSpPr/>
        </xdr:nvGrpSpPr>
        <xdr:grpSpPr>
          <a:xfrm>
            <a:off x="5137727" y="13144500"/>
            <a:ext cx="1707169" cy="464661"/>
            <a:chOff x="3415" y="11846315"/>
            <a:chExt cx="1725184" cy="456487"/>
          </a:xfrm>
        </xdr:grpSpPr>
        <xdr:sp macro="" textlink="">
          <xdr:nvSpPr>
            <xdr:cNvPr id="36" name="Rectangle: Rounded Corners 35">
              <a:hlinkClick xmlns:r="http://schemas.openxmlformats.org/officeDocument/2006/relationships" r:id="rId34"/>
              <a:extLst>
                <a:ext uri="{FF2B5EF4-FFF2-40B4-BE49-F238E27FC236}">
                  <a16:creationId xmlns:a16="http://schemas.microsoft.com/office/drawing/2014/main" id="{5E2260C4-C82E-7749-B189-A71403FB59BC}"/>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7" name="TextBox 36">
              <a:hlinkClick xmlns:r="http://schemas.openxmlformats.org/officeDocument/2006/relationships" r:id="rId34"/>
              <a:extLst>
                <a:ext uri="{FF2B5EF4-FFF2-40B4-BE49-F238E27FC236}">
                  <a16:creationId xmlns:a16="http://schemas.microsoft.com/office/drawing/2014/main" id="{419C8AFD-F37C-EF53-72A2-BE71F99B697D}"/>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38" name="Oval 37">
              <a:hlinkClick xmlns:r="http://schemas.openxmlformats.org/officeDocument/2006/relationships" r:id="rId34"/>
              <a:extLst>
                <a:ext uri="{FF2B5EF4-FFF2-40B4-BE49-F238E27FC236}">
                  <a16:creationId xmlns:a16="http://schemas.microsoft.com/office/drawing/2014/main" id="{75837F97-0E43-DAF5-1BE6-351FD3D1C351}"/>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34"/>
              <a:extLst>
                <a:ext uri="{FF2B5EF4-FFF2-40B4-BE49-F238E27FC236}">
                  <a16:creationId xmlns:a16="http://schemas.microsoft.com/office/drawing/2014/main" id="{A8843E85-2A15-2EDB-3E88-E1B59C5327D6}"/>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32</xdr:row>
      <xdr:rowOff>82550</xdr:rowOff>
    </xdr:to>
    <xdr:sp macro="" textlink="">
      <xdr:nvSpPr>
        <xdr:cNvPr id="127" name="Rectangle: Rounded Corners 126">
          <a:extLst>
            <a:ext uri="{FF2B5EF4-FFF2-40B4-BE49-F238E27FC236}">
              <a16:creationId xmlns:a16="http://schemas.microsoft.com/office/drawing/2014/main" id="{4F0A2E3A-8AFA-4C20-02A9-63C1DD497280}"/>
            </a:ext>
          </a:extLst>
        </xdr:cNvPr>
        <xdr:cNvSpPr/>
      </xdr:nvSpPr>
      <xdr:spPr>
        <a:xfrm>
          <a:off x="0" y="0"/>
          <a:ext cx="1841776" cy="148463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128" name="Group 127">
          <a:extLst>
            <a:ext uri="{FF2B5EF4-FFF2-40B4-BE49-F238E27FC236}">
              <a16:creationId xmlns:a16="http://schemas.microsoft.com/office/drawing/2014/main" id="{C3C0F6B8-807E-8CB2-DE5D-111182B80011}"/>
            </a:ext>
          </a:extLst>
        </xdr:cNvPr>
        <xdr:cNvGrpSpPr/>
      </xdr:nvGrpSpPr>
      <xdr:grpSpPr>
        <a:xfrm>
          <a:off x="11239" y="652572"/>
          <a:ext cx="1704895" cy="451333"/>
          <a:chOff x="17891" y="510932"/>
          <a:chExt cx="1724265" cy="444500"/>
        </a:xfrm>
      </xdr:grpSpPr>
      <xdr:sp macro="" textlink="">
        <xdr:nvSpPr>
          <xdr:cNvPr id="257" name="Rectangle: Rounded Corners 256">
            <a:extLst>
              <a:ext uri="{FF2B5EF4-FFF2-40B4-BE49-F238E27FC236}">
                <a16:creationId xmlns:a16="http://schemas.microsoft.com/office/drawing/2014/main" id="{1474C606-CD05-2C99-0513-BEACC9C0A281}"/>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8" name="TextBox 257">
            <a:hlinkClick xmlns:r="http://schemas.openxmlformats.org/officeDocument/2006/relationships" r:id="rId1"/>
            <a:extLst>
              <a:ext uri="{FF2B5EF4-FFF2-40B4-BE49-F238E27FC236}">
                <a16:creationId xmlns:a16="http://schemas.microsoft.com/office/drawing/2014/main" id="{AB5A1B6A-F014-C2B0-E318-1975ACDC0901}"/>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259" name="Oval 258">
            <a:extLst>
              <a:ext uri="{FF2B5EF4-FFF2-40B4-BE49-F238E27FC236}">
                <a16:creationId xmlns:a16="http://schemas.microsoft.com/office/drawing/2014/main" id="{CDF1ED59-AA54-0136-7843-F560B597A8C7}"/>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129" name="Graphic 128" descr="Home with solid fill">
          <a:hlinkClick xmlns:r="http://schemas.openxmlformats.org/officeDocument/2006/relationships" r:id="rId2"/>
          <a:extLst>
            <a:ext uri="{FF2B5EF4-FFF2-40B4-BE49-F238E27FC236}">
              <a16:creationId xmlns:a16="http://schemas.microsoft.com/office/drawing/2014/main" id="{7B91E6B3-99C6-1978-C334-7988417FF93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130" name="Group 129">
          <a:extLst>
            <a:ext uri="{FF2B5EF4-FFF2-40B4-BE49-F238E27FC236}">
              <a16:creationId xmlns:a16="http://schemas.microsoft.com/office/drawing/2014/main" id="{ACD5985B-C6F1-8B12-8C2D-A1C2508F2FFF}"/>
            </a:ext>
          </a:extLst>
        </xdr:cNvPr>
        <xdr:cNvGrpSpPr/>
      </xdr:nvGrpSpPr>
      <xdr:grpSpPr>
        <a:xfrm>
          <a:off x="10917" y="1127622"/>
          <a:ext cx="1704895" cy="446452"/>
          <a:chOff x="23753" y="989136"/>
          <a:chExt cx="1724265" cy="444500"/>
        </a:xfrm>
      </xdr:grpSpPr>
      <xdr:sp macro="" textlink="">
        <xdr:nvSpPr>
          <xdr:cNvPr id="254" name="Rectangle: Rounded Corners 253">
            <a:extLst>
              <a:ext uri="{FF2B5EF4-FFF2-40B4-BE49-F238E27FC236}">
                <a16:creationId xmlns:a16="http://schemas.microsoft.com/office/drawing/2014/main" id="{1824DBA1-3C66-D4C8-85A1-06792733E332}"/>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5" name="TextBox 254">
            <a:hlinkClick xmlns:r="http://schemas.openxmlformats.org/officeDocument/2006/relationships" r:id="rId5"/>
            <a:extLst>
              <a:ext uri="{FF2B5EF4-FFF2-40B4-BE49-F238E27FC236}">
                <a16:creationId xmlns:a16="http://schemas.microsoft.com/office/drawing/2014/main" id="{8B1C000D-EC12-59A9-68D8-BFB5E1E1F259}"/>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256" name="Oval 255">
            <a:extLst>
              <a:ext uri="{FF2B5EF4-FFF2-40B4-BE49-F238E27FC236}">
                <a16:creationId xmlns:a16="http://schemas.microsoft.com/office/drawing/2014/main" id="{574DB43A-8ED4-DE09-168F-132F7857954B}"/>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230689</xdr:rowOff>
    </xdr:from>
    <xdr:to>
      <xdr:col>0</xdr:col>
      <xdr:colOff>1717958</xdr:colOff>
      <xdr:row>6</xdr:row>
      <xdr:rowOff>310201</xdr:rowOff>
    </xdr:to>
    <xdr:grpSp>
      <xdr:nvGrpSpPr>
        <xdr:cNvPr id="131" name="Group 130">
          <a:extLst>
            <a:ext uri="{FF2B5EF4-FFF2-40B4-BE49-F238E27FC236}">
              <a16:creationId xmlns:a16="http://schemas.microsoft.com/office/drawing/2014/main" id="{3791C9A7-A131-2D01-6E02-DC3FA4B6F059}"/>
            </a:ext>
          </a:extLst>
        </xdr:cNvPr>
        <xdr:cNvGrpSpPr/>
      </xdr:nvGrpSpPr>
      <xdr:grpSpPr>
        <a:xfrm>
          <a:off x="13063" y="2103939"/>
          <a:ext cx="1704895" cy="447812"/>
          <a:chOff x="13593" y="1983238"/>
          <a:chExt cx="1722818" cy="443309"/>
        </a:xfrm>
      </xdr:grpSpPr>
      <xdr:sp macro="" textlink="">
        <xdr:nvSpPr>
          <xdr:cNvPr id="251" name="Rectangle: Rounded Corners 250">
            <a:extLst>
              <a:ext uri="{FF2B5EF4-FFF2-40B4-BE49-F238E27FC236}">
                <a16:creationId xmlns:a16="http://schemas.microsoft.com/office/drawing/2014/main" id="{3757A20B-7BD5-CA2D-C4DE-78FFE186158B}"/>
              </a:ext>
            </a:extLst>
          </xdr:cNvPr>
          <xdr:cNvSpPr/>
        </xdr:nvSpPr>
        <xdr:spPr>
          <a:xfrm>
            <a:off x="13593" y="1983238"/>
            <a:ext cx="1706703" cy="443309"/>
          </a:xfrm>
          <a:prstGeom prst="roundRect">
            <a:avLst>
              <a:gd name="adj" fmla="val 6708"/>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2" name="TextBox 251">
            <a:hlinkClick xmlns:r="http://schemas.openxmlformats.org/officeDocument/2006/relationships" r:id="rId6"/>
            <a:extLst>
              <a:ext uri="{FF2B5EF4-FFF2-40B4-BE49-F238E27FC236}">
                <a16:creationId xmlns:a16="http://schemas.microsoft.com/office/drawing/2014/main" id="{D95F6C9B-DCCD-C633-156F-1C1C97F7D8E8}"/>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FSA                 </a:t>
            </a:r>
            <a:endParaRPr lang="en-US" sz="1600">
              <a:solidFill>
                <a:schemeClr val="bg1"/>
              </a:solidFill>
            </a:endParaRPr>
          </a:p>
        </xdr:txBody>
      </xdr:sp>
      <xdr:sp macro="" textlink="">
        <xdr:nvSpPr>
          <xdr:cNvPr id="253" name="Oval 252">
            <a:extLst>
              <a:ext uri="{FF2B5EF4-FFF2-40B4-BE49-F238E27FC236}">
                <a16:creationId xmlns:a16="http://schemas.microsoft.com/office/drawing/2014/main" id="{D6A5DAE3-2F8D-F4E8-600C-F0673FDA6807}"/>
              </a:ext>
            </a:extLst>
          </xdr:cNvPr>
          <xdr:cNvSpPr/>
        </xdr:nvSpPr>
        <xdr:spPr>
          <a:xfrm>
            <a:off x="108049" y="2060955"/>
            <a:ext cx="285750" cy="287080"/>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331852</xdr:rowOff>
    </xdr:from>
    <xdr:to>
      <xdr:col>0</xdr:col>
      <xdr:colOff>1715516</xdr:colOff>
      <xdr:row>7</xdr:row>
      <xdr:rowOff>409527</xdr:rowOff>
    </xdr:to>
    <xdr:grpSp>
      <xdr:nvGrpSpPr>
        <xdr:cNvPr id="132" name="Group 131">
          <a:extLst>
            <a:ext uri="{FF2B5EF4-FFF2-40B4-BE49-F238E27FC236}">
              <a16:creationId xmlns:a16="http://schemas.microsoft.com/office/drawing/2014/main" id="{D6F8C625-F9E8-6C09-36EF-98974CA9F31D}"/>
            </a:ext>
          </a:extLst>
        </xdr:cNvPr>
        <xdr:cNvGrpSpPr/>
      </xdr:nvGrpSpPr>
      <xdr:grpSpPr>
        <a:xfrm>
          <a:off x="12799" y="2573402"/>
          <a:ext cx="1702717" cy="445975"/>
          <a:chOff x="13317" y="2459028"/>
          <a:chExt cx="1720554" cy="441552"/>
        </a:xfrm>
      </xdr:grpSpPr>
      <xdr:sp macro="" textlink="">
        <xdr:nvSpPr>
          <xdr:cNvPr id="248" name="Rectangle: Rounded Corners 247">
            <a:extLst>
              <a:ext uri="{FF2B5EF4-FFF2-40B4-BE49-F238E27FC236}">
                <a16:creationId xmlns:a16="http://schemas.microsoft.com/office/drawing/2014/main" id="{6FC90131-9F61-EBF4-FB15-E5D243AD5108}"/>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9" name="TextBox 248">
            <a:hlinkClick xmlns:r="http://schemas.openxmlformats.org/officeDocument/2006/relationships" r:id="rId7"/>
            <a:extLst>
              <a:ext uri="{FF2B5EF4-FFF2-40B4-BE49-F238E27FC236}">
                <a16:creationId xmlns:a16="http://schemas.microsoft.com/office/drawing/2014/main" id="{3AD3D474-079B-516B-FB74-35E424636032}"/>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250" name="Oval 249">
            <a:extLst>
              <a:ext uri="{FF2B5EF4-FFF2-40B4-BE49-F238E27FC236}">
                <a16:creationId xmlns:a16="http://schemas.microsoft.com/office/drawing/2014/main" id="{1D01ABF7-8102-EB8E-A0F3-B5F4E60788F1}"/>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7</xdr:row>
      <xdr:rowOff>423806</xdr:rowOff>
    </xdr:from>
    <xdr:to>
      <xdr:col>0</xdr:col>
      <xdr:colOff>1713076</xdr:colOff>
      <xdr:row>8</xdr:row>
      <xdr:rowOff>330202</xdr:rowOff>
    </xdr:to>
    <xdr:grpSp>
      <xdr:nvGrpSpPr>
        <xdr:cNvPr id="133" name="Group 132">
          <a:extLst>
            <a:ext uri="{FF2B5EF4-FFF2-40B4-BE49-F238E27FC236}">
              <a16:creationId xmlns:a16="http://schemas.microsoft.com/office/drawing/2014/main" id="{EDA2383A-CE7A-30CE-0108-F455DF8AB154}"/>
            </a:ext>
          </a:extLst>
        </xdr:cNvPr>
        <xdr:cNvGrpSpPr/>
      </xdr:nvGrpSpPr>
      <xdr:grpSpPr>
        <a:xfrm>
          <a:off x="8181" y="3033656"/>
          <a:ext cx="1704895" cy="458846"/>
          <a:chOff x="8513" y="2976867"/>
          <a:chExt cx="1722818" cy="451725"/>
        </a:xfrm>
      </xdr:grpSpPr>
      <xdr:sp macro="" textlink="">
        <xdr:nvSpPr>
          <xdr:cNvPr id="244" name="Rectangle: Rounded Corners 243">
            <a:extLst>
              <a:ext uri="{FF2B5EF4-FFF2-40B4-BE49-F238E27FC236}">
                <a16:creationId xmlns:a16="http://schemas.microsoft.com/office/drawing/2014/main" id="{C2818DB1-F003-FD0D-B3CF-038D4C7E4CE6}"/>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5" name="TextBox 244">
            <a:hlinkClick xmlns:r="http://schemas.openxmlformats.org/officeDocument/2006/relationships" r:id="rId7"/>
            <a:extLst>
              <a:ext uri="{FF2B5EF4-FFF2-40B4-BE49-F238E27FC236}">
                <a16:creationId xmlns:a16="http://schemas.microsoft.com/office/drawing/2014/main" id="{B4D970C5-D2A7-0315-156D-F0CAAB5029E9}"/>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46" name="Oval 245">
            <a:extLst>
              <a:ext uri="{FF2B5EF4-FFF2-40B4-BE49-F238E27FC236}">
                <a16:creationId xmlns:a16="http://schemas.microsoft.com/office/drawing/2014/main" id="{79823B2D-3066-0CAD-11F3-731F818D9967}"/>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7" name="TextBox 246">
            <a:hlinkClick xmlns:r="http://schemas.openxmlformats.org/officeDocument/2006/relationships" r:id="rId8"/>
            <a:extLst>
              <a:ext uri="{FF2B5EF4-FFF2-40B4-BE49-F238E27FC236}">
                <a16:creationId xmlns:a16="http://schemas.microsoft.com/office/drawing/2014/main" id="{88332B26-4007-A8E0-16DF-6C81CEE2101D}"/>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210064</xdr:rowOff>
    </xdr:to>
    <xdr:grpSp>
      <xdr:nvGrpSpPr>
        <xdr:cNvPr id="134" name="Group 133">
          <a:extLst>
            <a:ext uri="{FF2B5EF4-FFF2-40B4-BE49-F238E27FC236}">
              <a16:creationId xmlns:a16="http://schemas.microsoft.com/office/drawing/2014/main" id="{C10257CD-15AF-DEA5-EF03-D98FCF7079D6}"/>
            </a:ext>
          </a:extLst>
        </xdr:cNvPr>
        <xdr:cNvGrpSpPr/>
      </xdr:nvGrpSpPr>
      <xdr:grpSpPr>
        <a:xfrm>
          <a:off x="11772" y="1596375"/>
          <a:ext cx="1704895" cy="486939"/>
          <a:chOff x="21544" y="1467318"/>
          <a:chExt cx="1724265" cy="477164"/>
        </a:xfrm>
      </xdr:grpSpPr>
      <xdr:sp macro="" textlink="">
        <xdr:nvSpPr>
          <xdr:cNvPr id="241" name="Rectangle: Rounded Corners 240">
            <a:extLst>
              <a:ext uri="{FF2B5EF4-FFF2-40B4-BE49-F238E27FC236}">
                <a16:creationId xmlns:a16="http://schemas.microsoft.com/office/drawing/2014/main" id="{987BBC93-AB1C-FBA2-12E9-8E5D5B44E6EE}"/>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2" name="TextBox 241">
            <a:hlinkClick xmlns:r="http://schemas.openxmlformats.org/officeDocument/2006/relationships" r:id="rId9"/>
            <a:extLst>
              <a:ext uri="{FF2B5EF4-FFF2-40B4-BE49-F238E27FC236}">
                <a16:creationId xmlns:a16="http://schemas.microsoft.com/office/drawing/2014/main" id="{8D1062E3-36CD-4BDD-36F5-62722B8C7494}"/>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243" name="Oval 242">
            <a:extLst>
              <a:ext uri="{FF2B5EF4-FFF2-40B4-BE49-F238E27FC236}">
                <a16:creationId xmlns:a16="http://schemas.microsoft.com/office/drawing/2014/main" id="{1B9FBBEC-2910-7336-6DA7-0D21EC996E52}"/>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8</xdr:row>
      <xdr:rowOff>343386</xdr:rowOff>
    </xdr:from>
    <xdr:to>
      <xdr:col>0</xdr:col>
      <xdr:colOff>1713094</xdr:colOff>
      <xdr:row>9</xdr:row>
      <xdr:rowOff>458605</xdr:rowOff>
    </xdr:to>
    <xdr:grpSp>
      <xdr:nvGrpSpPr>
        <xdr:cNvPr id="135" name="Group 134">
          <a:extLst>
            <a:ext uri="{FF2B5EF4-FFF2-40B4-BE49-F238E27FC236}">
              <a16:creationId xmlns:a16="http://schemas.microsoft.com/office/drawing/2014/main" id="{E7D21796-7EDA-DD0F-6068-ED9FBA9ABC82}"/>
            </a:ext>
          </a:extLst>
        </xdr:cNvPr>
        <xdr:cNvGrpSpPr/>
      </xdr:nvGrpSpPr>
      <xdr:grpSpPr>
        <a:xfrm>
          <a:off x="8199" y="3505686"/>
          <a:ext cx="1704895" cy="483519"/>
          <a:chOff x="8532" y="3456662"/>
          <a:chExt cx="1722818" cy="482122"/>
        </a:xfrm>
      </xdr:grpSpPr>
      <xdr:sp macro="" textlink="">
        <xdr:nvSpPr>
          <xdr:cNvPr id="237" name="Rectangle: Rounded Corners 236">
            <a:extLst>
              <a:ext uri="{FF2B5EF4-FFF2-40B4-BE49-F238E27FC236}">
                <a16:creationId xmlns:a16="http://schemas.microsoft.com/office/drawing/2014/main" id="{E69CA355-86AF-924D-7A83-93A51D35430B}"/>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8" name="TextBox 237">
            <a:hlinkClick xmlns:r="http://schemas.openxmlformats.org/officeDocument/2006/relationships" r:id="rId10"/>
            <a:extLst>
              <a:ext uri="{FF2B5EF4-FFF2-40B4-BE49-F238E27FC236}">
                <a16:creationId xmlns:a16="http://schemas.microsoft.com/office/drawing/2014/main" id="{94AFA680-CD66-AB5F-586F-62BE726E1EFE}"/>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39" name="Oval 238">
            <a:extLst>
              <a:ext uri="{FF2B5EF4-FFF2-40B4-BE49-F238E27FC236}">
                <a16:creationId xmlns:a16="http://schemas.microsoft.com/office/drawing/2014/main" id="{CB1DCEAD-53B7-F5D5-D940-573A8433D3C1}"/>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0" name="TextBox 239">
            <a:hlinkClick xmlns:r="http://schemas.openxmlformats.org/officeDocument/2006/relationships" r:id="rId10"/>
            <a:extLst>
              <a:ext uri="{FF2B5EF4-FFF2-40B4-BE49-F238E27FC236}">
                <a16:creationId xmlns:a16="http://schemas.microsoft.com/office/drawing/2014/main" id="{9235CC1B-9090-F4BF-DF21-0F1F09988F71}"/>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9</xdr:row>
      <xdr:rowOff>471403</xdr:rowOff>
    </xdr:from>
    <xdr:to>
      <xdr:col>0</xdr:col>
      <xdr:colOff>1713246</xdr:colOff>
      <xdr:row>10</xdr:row>
      <xdr:rowOff>380760</xdr:rowOff>
    </xdr:to>
    <xdr:grpSp>
      <xdr:nvGrpSpPr>
        <xdr:cNvPr id="136" name="Group 135">
          <a:extLst>
            <a:ext uri="{FF2B5EF4-FFF2-40B4-BE49-F238E27FC236}">
              <a16:creationId xmlns:a16="http://schemas.microsoft.com/office/drawing/2014/main" id="{DBA45B4A-3CF9-9B5B-4C5A-A725BF664AA0}"/>
            </a:ext>
          </a:extLst>
        </xdr:cNvPr>
        <xdr:cNvGrpSpPr/>
      </xdr:nvGrpSpPr>
      <xdr:grpSpPr>
        <a:xfrm>
          <a:off x="6077" y="4002003"/>
          <a:ext cx="1707169" cy="461807"/>
          <a:chOff x="6323" y="3964228"/>
          <a:chExt cx="1725184" cy="454551"/>
        </a:xfrm>
      </xdr:grpSpPr>
      <xdr:sp macro="" textlink="">
        <xdr:nvSpPr>
          <xdr:cNvPr id="233" name="Rectangle: Rounded Corners 232">
            <a:extLst>
              <a:ext uri="{FF2B5EF4-FFF2-40B4-BE49-F238E27FC236}">
                <a16:creationId xmlns:a16="http://schemas.microsoft.com/office/drawing/2014/main" id="{044AA1B6-F3C8-6D23-54E6-A88366067630}"/>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4" name="TextBox 233">
            <a:hlinkClick xmlns:r="http://schemas.openxmlformats.org/officeDocument/2006/relationships" r:id="rId11"/>
            <a:extLst>
              <a:ext uri="{FF2B5EF4-FFF2-40B4-BE49-F238E27FC236}">
                <a16:creationId xmlns:a16="http://schemas.microsoft.com/office/drawing/2014/main" id="{FE70C9A6-B9F6-EC84-6F4F-3AC52DE702A3}"/>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5" name="Oval 234">
            <a:extLst>
              <a:ext uri="{FF2B5EF4-FFF2-40B4-BE49-F238E27FC236}">
                <a16:creationId xmlns:a16="http://schemas.microsoft.com/office/drawing/2014/main" id="{0D9F116E-E45C-9F10-E19A-6F734C958FE6}"/>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6" name="TextBox 235">
            <a:hlinkClick xmlns:r="http://schemas.openxmlformats.org/officeDocument/2006/relationships" r:id="rId11"/>
            <a:extLst>
              <a:ext uri="{FF2B5EF4-FFF2-40B4-BE49-F238E27FC236}">
                <a16:creationId xmlns:a16="http://schemas.microsoft.com/office/drawing/2014/main" id="{A680B2D0-FD3F-3728-AEBA-C41C80386621}"/>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10</xdr:row>
      <xdr:rowOff>397990</xdr:rowOff>
    </xdr:from>
    <xdr:to>
      <xdr:col>0</xdr:col>
      <xdr:colOff>1709917</xdr:colOff>
      <xdr:row>11</xdr:row>
      <xdr:rowOff>156008</xdr:rowOff>
    </xdr:to>
    <xdr:grpSp>
      <xdr:nvGrpSpPr>
        <xdr:cNvPr id="137" name="Group 136">
          <a:extLst>
            <a:ext uri="{FF2B5EF4-FFF2-40B4-BE49-F238E27FC236}">
              <a16:creationId xmlns:a16="http://schemas.microsoft.com/office/drawing/2014/main" id="{24FE7CA0-6667-5443-3E97-A94090209E0C}"/>
            </a:ext>
          </a:extLst>
        </xdr:cNvPr>
        <xdr:cNvGrpSpPr/>
      </xdr:nvGrpSpPr>
      <xdr:grpSpPr>
        <a:xfrm>
          <a:off x="2748" y="4481040"/>
          <a:ext cx="1707169" cy="494618"/>
          <a:chOff x="2860" y="4442071"/>
          <a:chExt cx="1725184" cy="485874"/>
        </a:xfrm>
      </xdr:grpSpPr>
      <xdr:sp macro="" textlink="">
        <xdr:nvSpPr>
          <xdr:cNvPr id="229" name="Rectangle: Rounded Corners 228">
            <a:extLst>
              <a:ext uri="{FF2B5EF4-FFF2-40B4-BE49-F238E27FC236}">
                <a16:creationId xmlns:a16="http://schemas.microsoft.com/office/drawing/2014/main" id="{1A4C993E-861B-8CBB-52A0-83F3C887C7C5}"/>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0" name="TextBox 229">
            <a:hlinkClick xmlns:r="http://schemas.openxmlformats.org/officeDocument/2006/relationships" r:id="rId12"/>
            <a:extLst>
              <a:ext uri="{FF2B5EF4-FFF2-40B4-BE49-F238E27FC236}">
                <a16:creationId xmlns:a16="http://schemas.microsoft.com/office/drawing/2014/main" id="{2BAE61CA-F16D-137D-EAD8-E9671E855BA1}"/>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1" name="Oval 230">
            <a:extLst>
              <a:ext uri="{FF2B5EF4-FFF2-40B4-BE49-F238E27FC236}">
                <a16:creationId xmlns:a16="http://schemas.microsoft.com/office/drawing/2014/main" id="{FE6424D1-21C1-C61E-A383-D97B69834A1D}"/>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2" name="TextBox 231">
            <a:hlinkClick xmlns:r="http://schemas.openxmlformats.org/officeDocument/2006/relationships" r:id="rId12"/>
            <a:extLst>
              <a:ext uri="{FF2B5EF4-FFF2-40B4-BE49-F238E27FC236}">
                <a16:creationId xmlns:a16="http://schemas.microsoft.com/office/drawing/2014/main" id="{0954EA9A-A4EA-FE8E-136B-85EC1A1988EC}"/>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11</xdr:row>
      <xdr:rowOff>178347</xdr:rowOff>
    </xdr:from>
    <xdr:to>
      <xdr:col>0</xdr:col>
      <xdr:colOff>1709302</xdr:colOff>
      <xdr:row>12</xdr:row>
      <xdr:rowOff>82231</xdr:rowOff>
    </xdr:to>
    <xdr:grpSp>
      <xdr:nvGrpSpPr>
        <xdr:cNvPr id="138" name="Group 137">
          <a:extLst>
            <a:ext uri="{FF2B5EF4-FFF2-40B4-BE49-F238E27FC236}">
              <a16:creationId xmlns:a16="http://schemas.microsoft.com/office/drawing/2014/main" id="{17576204-CBD1-1EA7-6905-9A8F8AD70148}"/>
            </a:ext>
          </a:extLst>
        </xdr:cNvPr>
        <xdr:cNvGrpSpPr/>
      </xdr:nvGrpSpPr>
      <xdr:grpSpPr>
        <a:xfrm>
          <a:off x="2133" y="4997997"/>
          <a:ext cx="1707169" cy="456334"/>
          <a:chOff x="2219" y="4949272"/>
          <a:chExt cx="1725184" cy="456170"/>
        </a:xfrm>
      </xdr:grpSpPr>
      <xdr:sp macro="" textlink="">
        <xdr:nvSpPr>
          <xdr:cNvPr id="225" name="Rectangle: Rounded Corners 224">
            <a:extLst>
              <a:ext uri="{FF2B5EF4-FFF2-40B4-BE49-F238E27FC236}">
                <a16:creationId xmlns:a16="http://schemas.microsoft.com/office/drawing/2014/main" id="{7B078EEE-CB62-753C-5078-E22151FF0E1B}"/>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6" name="TextBox 225">
            <a:hlinkClick xmlns:r="http://schemas.openxmlformats.org/officeDocument/2006/relationships" r:id="rId13"/>
            <a:extLst>
              <a:ext uri="{FF2B5EF4-FFF2-40B4-BE49-F238E27FC236}">
                <a16:creationId xmlns:a16="http://schemas.microsoft.com/office/drawing/2014/main" id="{8C3661C4-15F2-6BAA-CC27-4B0ACBF44097}"/>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7" name="Oval 226">
            <a:extLst>
              <a:ext uri="{FF2B5EF4-FFF2-40B4-BE49-F238E27FC236}">
                <a16:creationId xmlns:a16="http://schemas.microsoft.com/office/drawing/2014/main" id="{E5AF5890-4578-7BE7-E384-AF8E5878BA28}"/>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8" name="TextBox 227">
            <a:hlinkClick xmlns:r="http://schemas.openxmlformats.org/officeDocument/2006/relationships" r:id="rId13"/>
            <a:extLst>
              <a:ext uri="{FF2B5EF4-FFF2-40B4-BE49-F238E27FC236}">
                <a16:creationId xmlns:a16="http://schemas.microsoft.com/office/drawing/2014/main" id="{72F9D2C5-189E-FD64-B35C-ACCDA4074824}"/>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12</xdr:row>
      <xdr:rowOff>101148</xdr:rowOff>
    </xdr:from>
    <xdr:to>
      <xdr:col>0</xdr:col>
      <xdr:colOff>1709298</xdr:colOff>
      <xdr:row>12</xdr:row>
      <xdr:rowOff>590494</xdr:rowOff>
    </xdr:to>
    <xdr:grpSp>
      <xdr:nvGrpSpPr>
        <xdr:cNvPr id="139" name="Group 138">
          <a:extLst>
            <a:ext uri="{FF2B5EF4-FFF2-40B4-BE49-F238E27FC236}">
              <a16:creationId xmlns:a16="http://schemas.microsoft.com/office/drawing/2014/main" id="{67910FAA-66F6-4B0A-EE63-C0AA3BFF6027}"/>
            </a:ext>
          </a:extLst>
        </xdr:cNvPr>
        <xdr:cNvGrpSpPr/>
      </xdr:nvGrpSpPr>
      <xdr:grpSpPr>
        <a:xfrm>
          <a:off x="2129" y="5473248"/>
          <a:ext cx="1707169" cy="489346"/>
          <a:chOff x="2215" y="5434042"/>
          <a:chExt cx="1725184" cy="486597"/>
        </a:xfrm>
      </xdr:grpSpPr>
      <xdr:sp macro="" textlink="">
        <xdr:nvSpPr>
          <xdr:cNvPr id="221" name="Rectangle: Rounded Corners 220">
            <a:extLst>
              <a:ext uri="{FF2B5EF4-FFF2-40B4-BE49-F238E27FC236}">
                <a16:creationId xmlns:a16="http://schemas.microsoft.com/office/drawing/2014/main" id="{D25D3C82-02F3-FF60-C622-D00278C3145F}"/>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2" name="TextBox 221">
            <a:hlinkClick xmlns:r="http://schemas.openxmlformats.org/officeDocument/2006/relationships" r:id="rId14"/>
            <a:extLst>
              <a:ext uri="{FF2B5EF4-FFF2-40B4-BE49-F238E27FC236}">
                <a16:creationId xmlns:a16="http://schemas.microsoft.com/office/drawing/2014/main" id="{1B4386F4-4D33-8529-8EB2-754EED1D5112}"/>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3" name="Oval 222">
            <a:extLst>
              <a:ext uri="{FF2B5EF4-FFF2-40B4-BE49-F238E27FC236}">
                <a16:creationId xmlns:a16="http://schemas.microsoft.com/office/drawing/2014/main" id="{26FF11AA-B5A5-E1A7-226C-CA35883C1974}"/>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4" name="TextBox 223">
            <a:hlinkClick xmlns:r="http://schemas.openxmlformats.org/officeDocument/2006/relationships" r:id="rId14"/>
            <a:extLst>
              <a:ext uri="{FF2B5EF4-FFF2-40B4-BE49-F238E27FC236}">
                <a16:creationId xmlns:a16="http://schemas.microsoft.com/office/drawing/2014/main" id="{8FD1D2FD-118D-E1F4-104F-CF96A1E46459}"/>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12</xdr:row>
      <xdr:rowOff>608349</xdr:rowOff>
    </xdr:from>
    <xdr:to>
      <xdr:col>0</xdr:col>
      <xdr:colOff>1709296</xdr:colOff>
      <xdr:row>13</xdr:row>
      <xdr:rowOff>366367</xdr:rowOff>
    </xdr:to>
    <xdr:grpSp>
      <xdr:nvGrpSpPr>
        <xdr:cNvPr id="140" name="Group 139">
          <a:extLst>
            <a:ext uri="{FF2B5EF4-FFF2-40B4-BE49-F238E27FC236}">
              <a16:creationId xmlns:a16="http://schemas.microsoft.com/office/drawing/2014/main" id="{09AA1D99-A8A4-55D0-7859-27A39ECA21C6}"/>
            </a:ext>
          </a:extLst>
        </xdr:cNvPr>
        <xdr:cNvGrpSpPr/>
      </xdr:nvGrpSpPr>
      <xdr:grpSpPr>
        <a:xfrm>
          <a:off x="2127" y="5980449"/>
          <a:ext cx="1707169" cy="494618"/>
          <a:chOff x="2213" y="5938772"/>
          <a:chExt cx="1725184" cy="485874"/>
        </a:xfrm>
      </xdr:grpSpPr>
      <xdr:sp macro="" textlink="">
        <xdr:nvSpPr>
          <xdr:cNvPr id="217" name="Rectangle: Rounded Corners 216">
            <a:extLst>
              <a:ext uri="{FF2B5EF4-FFF2-40B4-BE49-F238E27FC236}">
                <a16:creationId xmlns:a16="http://schemas.microsoft.com/office/drawing/2014/main" id="{6ADEA267-5F91-C925-0711-F68BF7C8BF67}"/>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8" name="TextBox 217">
            <a:hlinkClick xmlns:r="http://schemas.openxmlformats.org/officeDocument/2006/relationships" r:id="rId15"/>
            <a:extLst>
              <a:ext uri="{FF2B5EF4-FFF2-40B4-BE49-F238E27FC236}">
                <a16:creationId xmlns:a16="http://schemas.microsoft.com/office/drawing/2014/main" id="{420D3347-6622-6CAE-2BB3-022BE571F0DC}"/>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9" name="Oval 218">
            <a:extLst>
              <a:ext uri="{FF2B5EF4-FFF2-40B4-BE49-F238E27FC236}">
                <a16:creationId xmlns:a16="http://schemas.microsoft.com/office/drawing/2014/main" id="{16FD6A04-EA28-75A4-F427-196EC58B7CE7}"/>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0" name="TextBox 219">
            <a:hlinkClick xmlns:r="http://schemas.openxmlformats.org/officeDocument/2006/relationships" r:id="rId15"/>
            <a:extLst>
              <a:ext uri="{FF2B5EF4-FFF2-40B4-BE49-F238E27FC236}">
                <a16:creationId xmlns:a16="http://schemas.microsoft.com/office/drawing/2014/main" id="{387431FD-9746-6FA5-3508-2263F4EC1490}"/>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13</xdr:row>
      <xdr:rowOff>386157</xdr:rowOff>
    </xdr:from>
    <xdr:to>
      <xdr:col>0</xdr:col>
      <xdr:colOff>1708011</xdr:colOff>
      <xdr:row>14</xdr:row>
      <xdr:rowOff>290831</xdr:rowOff>
    </xdr:to>
    <xdr:grpSp>
      <xdr:nvGrpSpPr>
        <xdr:cNvPr id="141" name="Group 140">
          <a:extLst>
            <a:ext uri="{FF2B5EF4-FFF2-40B4-BE49-F238E27FC236}">
              <a16:creationId xmlns:a16="http://schemas.microsoft.com/office/drawing/2014/main" id="{7FDA86D9-D3E2-2A20-3615-448372DEC1EF}"/>
            </a:ext>
          </a:extLst>
        </xdr:cNvPr>
        <xdr:cNvGrpSpPr/>
      </xdr:nvGrpSpPr>
      <xdr:grpSpPr>
        <a:xfrm>
          <a:off x="842" y="6494857"/>
          <a:ext cx="1707169" cy="457124"/>
          <a:chOff x="876" y="6443539"/>
          <a:chExt cx="1725184" cy="456924"/>
        </a:xfrm>
      </xdr:grpSpPr>
      <xdr:sp macro="" textlink="">
        <xdr:nvSpPr>
          <xdr:cNvPr id="213" name="Rectangle: Rounded Corners 212">
            <a:extLst>
              <a:ext uri="{FF2B5EF4-FFF2-40B4-BE49-F238E27FC236}">
                <a16:creationId xmlns:a16="http://schemas.microsoft.com/office/drawing/2014/main" id="{099368B2-9CDC-E28C-CF50-CD91E8F86439}"/>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4" name="TextBox 213">
            <a:hlinkClick xmlns:r="http://schemas.openxmlformats.org/officeDocument/2006/relationships" r:id="rId16"/>
            <a:extLst>
              <a:ext uri="{FF2B5EF4-FFF2-40B4-BE49-F238E27FC236}">
                <a16:creationId xmlns:a16="http://schemas.microsoft.com/office/drawing/2014/main" id="{A69F6D44-E199-7482-29A1-E0E50568434F}"/>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5" name="Oval 214">
            <a:extLst>
              <a:ext uri="{FF2B5EF4-FFF2-40B4-BE49-F238E27FC236}">
                <a16:creationId xmlns:a16="http://schemas.microsoft.com/office/drawing/2014/main" id="{47AB9A90-69BF-5A0E-20A5-BF4CA0AA1462}"/>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6" name="TextBox 215">
            <a:hlinkClick xmlns:r="http://schemas.openxmlformats.org/officeDocument/2006/relationships" r:id="rId16"/>
            <a:extLst>
              <a:ext uri="{FF2B5EF4-FFF2-40B4-BE49-F238E27FC236}">
                <a16:creationId xmlns:a16="http://schemas.microsoft.com/office/drawing/2014/main" id="{07C0876F-B84E-70F0-3AA8-EA048F8C39DC}"/>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16</xdr:row>
      <xdr:rowOff>82193</xdr:rowOff>
    </xdr:from>
    <xdr:to>
      <xdr:col>0</xdr:col>
      <xdr:colOff>1708946</xdr:colOff>
      <xdr:row>17</xdr:row>
      <xdr:rowOff>363286</xdr:rowOff>
    </xdr:to>
    <xdr:grpSp>
      <xdr:nvGrpSpPr>
        <xdr:cNvPr id="142" name="Group 141">
          <a:extLst>
            <a:ext uri="{FF2B5EF4-FFF2-40B4-BE49-F238E27FC236}">
              <a16:creationId xmlns:a16="http://schemas.microsoft.com/office/drawing/2014/main" id="{2F62F33D-C84E-6FAD-F2F5-7D92729F5D0F}"/>
            </a:ext>
          </a:extLst>
        </xdr:cNvPr>
        <xdr:cNvGrpSpPr/>
      </xdr:nvGrpSpPr>
      <xdr:grpSpPr>
        <a:xfrm>
          <a:off x="1777" y="7479943"/>
          <a:ext cx="1707169" cy="465243"/>
          <a:chOff x="1849" y="7421500"/>
          <a:chExt cx="1725184" cy="457832"/>
        </a:xfrm>
      </xdr:grpSpPr>
      <xdr:sp macro="" textlink="">
        <xdr:nvSpPr>
          <xdr:cNvPr id="209" name="Rectangle: Rounded Corners 208">
            <a:extLst>
              <a:ext uri="{FF2B5EF4-FFF2-40B4-BE49-F238E27FC236}">
                <a16:creationId xmlns:a16="http://schemas.microsoft.com/office/drawing/2014/main" id="{21E23800-4F8E-02E8-FB6B-70171700D464}"/>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0" name="TextBox 209">
            <a:hlinkClick xmlns:r="http://schemas.openxmlformats.org/officeDocument/2006/relationships" r:id="rId17"/>
            <a:extLst>
              <a:ext uri="{FF2B5EF4-FFF2-40B4-BE49-F238E27FC236}">
                <a16:creationId xmlns:a16="http://schemas.microsoft.com/office/drawing/2014/main" id="{B9A5EEF9-7F4B-8660-8F94-E98D449C5436}"/>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1" name="Oval 210">
            <a:extLst>
              <a:ext uri="{FF2B5EF4-FFF2-40B4-BE49-F238E27FC236}">
                <a16:creationId xmlns:a16="http://schemas.microsoft.com/office/drawing/2014/main" id="{326D952E-69CD-3E88-56E9-E7EAA74CA3B6}"/>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2" name="TextBox 211">
            <a:hlinkClick xmlns:r="http://schemas.openxmlformats.org/officeDocument/2006/relationships" r:id="rId17"/>
            <a:extLst>
              <a:ext uri="{FF2B5EF4-FFF2-40B4-BE49-F238E27FC236}">
                <a16:creationId xmlns:a16="http://schemas.microsoft.com/office/drawing/2014/main" id="{6898FEDB-0657-7909-7C97-394DE21AA209}"/>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18</xdr:row>
      <xdr:rowOff>22534</xdr:rowOff>
    </xdr:from>
    <xdr:to>
      <xdr:col>0</xdr:col>
      <xdr:colOff>1710873</xdr:colOff>
      <xdr:row>18</xdr:row>
      <xdr:rowOff>510979</xdr:rowOff>
    </xdr:to>
    <xdr:grpSp>
      <xdr:nvGrpSpPr>
        <xdr:cNvPr id="143" name="Group 142">
          <a:extLst>
            <a:ext uri="{FF2B5EF4-FFF2-40B4-BE49-F238E27FC236}">
              <a16:creationId xmlns:a16="http://schemas.microsoft.com/office/drawing/2014/main" id="{D9C0CE3C-247D-7295-AB8B-557CDA27C847}"/>
            </a:ext>
          </a:extLst>
        </xdr:cNvPr>
        <xdr:cNvGrpSpPr/>
      </xdr:nvGrpSpPr>
      <xdr:grpSpPr>
        <a:xfrm>
          <a:off x="3704" y="7972734"/>
          <a:ext cx="1707169" cy="488445"/>
          <a:chOff x="3854" y="7898602"/>
          <a:chExt cx="1725184" cy="486825"/>
        </a:xfrm>
      </xdr:grpSpPr>
      <xdr:sp macro="" textlink="">
        <xdr:nvSpPr>
          <xdr:cNvPr id="205" name="Rectangle: Rounded Corners 204">
            <a:extLst>
              <a:ext uri="{FF2B5EF4-FFF2-40B4-BE49-F238E27FC236}">
                <a16:creationId xmlns:a16="http://schemas.microsoft.com/office/drawing/2014/main" id="{C2F4D3DC-3AB2-943E-A259-613F2A5669DB}"/>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6" name="TextBox 205">
            <a:hlinkClick xmlns:r="http://schemas.openxmlformats.org/officeDocument/2006/relationships" r:id="rId18"/>
            <a:extLst>
              <a:ext uri="{FF2B5EF4-FFF2-40B4-BE49-F238E27FC236}">
                <a16:creationId xmlns:a16="http://schemas.microsoft.com/office/drawing/2014/main" id="{694D02E7-EDF8-2196-52BD-2948CE8FE446}"/>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7" name="Oval 206">
            <a:extLst>
              <a:ext uri="{FF2B5EF4-FFF2-40B4-BE49-F238E27FC236}">
                <a16:creationId xmlns:a16="http://schemas.microsoft.com/office/drawing/2014/main" id="{E0B1A3AE-2B0D-6612-64BF-C347763CDA66}"/>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8" name="TextBox 207">
            <a:hlinkClick xmlns:r="http://schemas.openxmlformats.org/officeDocument/2006/relationships" r:id="rId18"/>
            <a:extLst>
              <a:ext uri="{FF2B5EF4-FFF2-40B4-BE49-F238E27FC236}">
                <a16:creationId xmlns:a16="http://schemas.microsoft.com/office/drawing/2014/main" id="{4816EDAE-26AD-0062-84D1-071DFEFF990D}"/>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18</xdr:row>
      <xdr:rowOff>535085</xdr:rowOff>
    </xdr:from>
    <xdr:to>
      <xdr:col>0</xdr:col>
      <xdr:colOff>1712157</xdr:colOff>
      <xdr:row>20</xdr:row>
      <xdr:rowOff>261217</xdr:rowOff>
    </xdr:to>
    <xdr:grpSp>
      <xdr:nvGrpSpPr>
        <xdr:cNvPr id="144" name="Group 143">
          <a:extLst>
            <a:ext uri="{FF2B5EF4-FFF2-40B4-BE49-F238E27FC236}">
              <a16:creationId xmlns:a16="http://schemas.microsoft.com/office/drawing/2014/main" id="{945BF0AD-D8BF-D4BD-7D50-48A707DCB442}"/>
            </a:ext>
          </a:extLst>
        </xdr:cNvPr>
        <xdr:cNvGrpSpPr/>
      </xdr:nvGrpSpPr>
      <xdr:grpSpPr>
        <a:xfrm>
          <a:off x="4988" y="8485285"/>
          <a:ext cx="1707169" cy="462732"/>
          <a:chOff x="5190" y="8408439"/>
          <a:chExt cx="1725184" cy="455434"/>
        </a:xfrm>
      </xdr:grpSpPr>
      <xdr:sp macro="" textlink="">
        <xdr:nvSpPr>
          <xdr:cNvPr id="201" name="Rectangle: Rounded Corners 200">
            <a:extLst>
              <a:ext uri="{FF2B5EF4-FFF2-40B4-BE49-F238E27FC236}">
                <a16:creationId xmlns:a16="http://schemas.microsoft.com/office/drawing/2014/main" id="{AE33736D-FFD4-C60D-F567-E3BE29E6441E}"/>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2" name="TextBox 201">
            <a:hlinkClick xmlns:r="http://schemas.openxmlformats.org/officeDocument/2006/relationships" r:id="rId19"/>
            <a:extLst>
              <a:ext uri="{FF2B5EF4-FFF2-40B4-BE49-F238E27FC236}">
                <a16:creationId xmlns:a16="http://schemas.microsoft.com/office/drawing/2014/main" id="{7AC3F899-17DF-EF44-B211-E6371F4308A7}"/>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3" name="Oval 202">
            <a:extLst>
              <a:ext uri="{FF2B5EF4-FFF2-40B4-BE49-F238E27FC236}">
                <a16:creationId xmlns:a16="http://schemas.microsoft.com/office/drawing/2014/main" id="{294C9D35-40B3-82D2-FEEA-FF204A7A3F84}"/>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4" name="TextBox 203">
            <a:hlinkClick xmlns:r="http://schemas.openxmlformats.org/officeDocument/2006/relationships" r:id="rId19"/>
            <a:extLst>
              <a:ext uri="{FF2B5EF4-FFF2-40B4-BE49-F238E27FC236}">
                <a16:creationId xmlns:a16="http://schemas.microsoft.com/office/drawing/2014/main" id="{C8B25873-EF34-FE69-D6BB-081500640E00}"/>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20</xdr:row>
      <xdr:rowOff>274005</xdr:rowOff>
    </xdr:from>
    <xdr:to>
      <xdr:col>0</xdr:col>
      <xdr:colOff>1713207</xdr:colOff>
      <xdr:row>22</xdr:row>
      <xdr:rowOff>25282</xdr:rowOff>
    </xdr:to>
    <xdr:grpSp>
      <xdr:nvGrpSpPr>
        <xdr:cNvPr id="145" name="Group 144">
          <a:extLst>
            <a:ext uri="{FF2B5EF4-FFF2-40B4-BE49-F238E27FC236}">
              <a16:creationId xmlns:a16="http://schemas.microsoft.com/office/drawing/2014/main" id="{D00EB898-5DC4-A09A-5CCE-CC04D732CE0A}"/>
            </a:ext>
          </a:extLst>
        </xdr:cNvPr>
        <xdr:cNvGrpSpPr/>
      </xdr:nvGrpSpPr>
      <xdr:grpSpPr>
        <a:xfrm>
          <a:off x="6038" y="8960805"/>
          <a:ext cx="1707169" cy="487877"/>
          <a:chOff x="6283" y="8882925"/>
          <a:chExt cx="1725184" cy="479438"/>
        </a:xfrm>
      </xdr:grpSpPr>
      <xdr:sp macro="" textlink="">
        <xdr:nvSpPr>
          <xdr:cNvPr id="197" name="Rectangle: Rounded Corners 196">
            <a:extLst>
              <a:ext uri="{FF2B5EF4-FFF2-40B4-BE49-F238E27FC236}">
                <a16:creationId xmlns:a16="http://schemas.microsoft.com/office/drawing/2014/main" id="{C4D8CC83-11AC-A1BB-105B-D5818E1BA701}"/>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8" name="TextBox 197">
            <a:hlinkClick xmlns:r="http://schemas.openxmlformats.org/officeDocument/2006/relationships" r:id="rId20"/>
            <a:extLst>
              <a:ext uri="{FF2B5EF4-FFF2-40B4-BE49-F238E27FC236}">
                <a16:creationId xmlns:a16="http://schemas.microsoft.com/office/drawing/2014/main" id="{83F12EEB-7FB4-C5E6-EEB6-A44F51D30E3A}"/>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9" name="Oval 198">
            <a:extLst>
              <a:ext uri="{FF2B5EF4-FFF2-40B4-BE49-F238E27FC236}">
                <a16:creationId xmlns:a16="http://schemas.microsoft.com/office/drawing/2014/main" id="{4894418A-7EDD-4474-1DEE-7BA944B47553}"/>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0" name="TextBox 199">
            <a:hlinkClick xmlns:r="http://schemas.openxmlformats.org/officeDocument/2006/relationships" r:id="rId20"/>
            <a:extLst>
              <a:ext uri="{FF2B5EF4-FFF2-40B4-BE49-F238E27FC236}">
                <a16:creationId xmlns:a16="http://schemas.microsoft.com/office/drawing/2014/main" id="{687BB1FC-8434-67DE-F72E-AB8093B1BA88}"/>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23</xdr:row>
      <xdr:rowOff>182190</xdr:rowOff>
    </xdr:from>
    <xdr:to>
      <xdr:col>0</xdr:col>
      <xdr:colOff>1711774</xdr:colOff>
      <xdr:row>24</xdr:row>
      <xdr:rowOff>96253</xdr:rowOff>
    </xdr:to>
    <xdr:grpSp>
      <xdr:nvGrpSpPr>
        <xdr:cNvPr id="146" name="Group 145">
          <a:extLst>
            <a:ext uri="{FF2B5EF4-FFF2-40B4-BE49-F238E27FC236}">
              <a16:creationId xmlns:a16="http://schemas.microsoft.com/office/drawing/2014/main" id="{329D8B16-56CC-A7A7-D43B-C58C1E83E808}"/>
            </a:ext>
          </a:extLst>
        </xdr:cNvPr>
        <xdr:cNvGrpSpPr/>
      </xdr:nvGrpSpPr>
      <xdr:grpSpPr>
        <a:xfrm>
          <a:off x="4605" y="9973890"/>
          <a:ext cx="1707169" cy="466513"/>
          <a:chOff x="4792" y="9884285"/>
          <a:chExt cx="1725184" cy="459044"/>
        </a:xfrm>
      </xdr:grpSpPr>
      <xdr:sp macro="" textlink="">
        <xdr:nvSpPr>
          <xdr:cNvPr id="193" name="Rectangle: Rounded Corners 192">
            <a:extLst>
              <a:ext uri="{FF2B5EF4-FFF2-40B4-BE49-F238E27FC236}">
                <a16:creationId xmlns:a16="http://schemas.microsoft.com/office/drawing/2014/main" id="{60F7A222-0BF4-E689-15DB-FBC0384E6185}"/>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4" name="TextBox 193">
            <a:hlinkClick xmlns:r="http://schemas.openxmlformats.org/officeDocument/2006/relationships" r:id="rId21"/>
            <a:extLst>
              <a:ext uri="{FF2B5EF4-FFF2-40B4-BE49-F238E27FC236}">
                <a16:creationId xmlns:a16="http://schemas.microsoft.com/office/drawing/2014/main" id="{BF5F3183-4275-CA65-774F-4941BF707F84}"/>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5" name="Oval 194">
            <a:extLst>
              <a:ext uri="{FF2B5EF4-FFF2-40B4-BE49-F238E27FC236}">
                <a16:creationId xmlns:a16="http://schemas.microsoft.com/office/drawing/2014/main" id="{1C14DC5C-A6EE-64D2-7AC8-61D719681706}"/>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6" name="TextBox 195">
            <a:hlinkClick xmlns:r="http://schemas.openxmlformats.org/officeDocument/2006/relationships" r:id="rId21"/>
            <a:extLst>
              <a:ext uri="{FF2B5EF4-FFF2-40B4-BE49-F238E27FC236}">
                <a16:creationId xmlns:a16="http://schemas.microsoft.com/office/drawing/2014/main" id="{4971544B-C1F2-529A-954A-524F48078632}"/>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22</xdr:row>
      <xdr:rowOff>43265</xdr:rowOff>
    </xdr:from>
    <xdr:to>
      <xdr:col>0</xdr:col>
      <xdr:colOff>1712537</xdr:colOff>
      <xdr:row>23</xdr:row>
      <xdr:rowOff>157911</xdr:rowOff>
    </xdr:to>
    <xdr:grpSp>
      <xdr:nvGrpSpPr>
        <xdr:cNvPr id="147" name="Group 146">
          <a:extLst>
            <a:ext uri="{FF2B5EF4-FFF2-40B4-BE49-F238E27FC236}">
              <a16:creationId xmlns:a16="http://schemas.microsoft.com/office/drawing/2014/main" id="{0A838DC9-0A3A-93CC-1DD4-5D3BCD2A25A3}"/>
            </a:ext>
          </a:extLst>
        </xdr:cNvPr>
        <xdr:cNvGrpSpPr/>
      </xdr:nvGrpSpPr>
      <xdr:grpSpPr>
        <a:xfrm>
          <a:off x="5368" y="9466665"/>
          <a:ext cx="1707169" cy="482946"/>
          <a:chOff x="5586" y="9379532"/>
          <a:chExt cx="1725184" cy="481576"/>
        </a:xfrm>
      </xdr:grpSpPr>
      <xdr:sp macro="" textlink="">
        <xdr:nvSpPr>
          <xdr:cNvPr id="189" name="Rectangle: Rounded Corners 188">
            <a:extLst>
              <a:ext uri="{FF2B5EF4-FFF2-40B4-BE49-F238E27FC236}">
                <a16:creationId xmlns:a16="http://schemas.microsoft.com/office/drawing/2014/main" id="{882A33EE-9AF4-8A46-D025-113DCF141B4E}"/>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0" name="TextBox 189">
            <a:hlinkClick xmlns:r="http://schemas.openxmlformats.org/officeDocument/2006/relationships" r:id="rId22"/>
            <a:extLst>
              <a:ext uri="{FF2B5EF4-FFF2-40B4-BE49-F238E27FC236}">
                <a16:creationId xmlns:a16="http://schemas.microsoft.com/office/drawing/2014/main" id="{9B8AC1E5-3098-79F3-7291-875A2869471B}"/>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1" name="Oval 190">
            <a:extLst>
              <a:ext uri="{FF2B5EF4-FFF2-40B4-BE49-F238E27FC236}">
                <a16:creationId xmlns:a16="http://schemas.microsoft.com/office/drawing/2014/main" id="{A5CD6130-F63C-FC84-E900-354DF63A8748}"/>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2" name="TextBox 191">
            <a:hlinkClick xmlns:r="http://schemas.openxmlformats.org/officeDocument/2006/relationships" r:id="rId22"/>
            <a:extLst>
              <a:ext uri="{FF2B5EF4-FFF2-40B4-BE49-F238E27FC236}">
                <a16:creationId xmlns:a16="http://schemas.microsoft.com/office/drawing/2014/main" id="{41F7D8B8-6FB5-F5F0-7105-C323B0986638}"/>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24</xdr:row>
      <xdr:rowOff>104652</xdr:rowOff>
    </xdr:from>
    <xdr:to>
      <xdr:col>0</xdr:col>
      <xdr:colOff>1711005</xdr:colOff>
      <xdr:row>25</xdr:row>
      <xdr:rowOff>47449</xdr:rowOff>
    </xdr:to>
    <xdr:grpSp>
      <xdr:nvGrpSpPr>
        <xdr:cNvPr id="148" name="Group 147">
          <a:extLst>
            <a:ext uri="{FF2B5EF4-FFF2-40B4-BE49-F238E27FC236}">
              <a16:creationId xmlns:a16="http://schemas.microsoft.com/office/drawing/2014/main" id="{01DA5C00-A8A4-9DE6-B5E8-8B7F533B82F2}"/>
            </a:ext>
          </a:extLst>
        </xdr:cNvPr>
        <xdr:cNvGrpSpPr/>
      </xdr:nvGrpSpPr>
      <xdr:grpSpPr>
        <a:xfrm>
          <a:off x="3836" y="10448802"/>
          <a:ext cx="1707169" cy="495247"/>
          <a:chOff x="3992" y="10358190"/>
          <a:chExt cx="1725184" cy="486476"/>
        </a:xfrm>
      </xdr:grpSpPr>
      <xdr:sp macro="" textlink="">
        <xdr:nvSpPr>
          <xdr:cNvPr id="185" name="Rectangle: Rounded Corners 184">
            <a:extLst>
              <a:ext uri="{FF2B5EF4-FFF2-40B4-BE49-F238E27FC236}">
                <a16:creationId xmlns:a16="http://schemas.microsoft.com/office/drawing/2014/main" id="{5067ABFD-6915-7EB1-A7CD-97F5D5FB3326}"/>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6" name="TextBox 185">
            <a:hlinkClick xmlns:r="http://schemas.openxmlformats.org/officeDocument/2006/relationships" r:id="rId23"/>
            <a:extLst>
              <a:ext uri="{FF2B5EF4-FFF2-40B4-BE49-F238E27FC236}">
                <a16:creationId xmlns:a16="http://schemas.microsoft.com/office/drawing/2014/main" id="{F6109FEA-85F0-1D64-4C7E-BED08640251F}"/>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87" name="Oval 186">
            <a:extLst>
              <a:ext uri="{FF2B5EF4-FFF2-40B4-BE49-F238E27FC236}">
                <a16:creationId xmlns:a16="http://schemas.microsoft.com/office/drawing/2014/main" id="{61B20853-BAE0-3EC0-C5D5-97938B3FA9EE}"/>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8" name="TextBox 187">
            <a:hlinkClick xmlns:r="http://schemas.openxmlformats.org/officeDocument/2006/relationships" r:id="rId23"/>
            <a:extLst>
              <a:ext uri="{FF2B5EF4-FFF2-40B4-BE49-F238E27FC236}">
                <a16:creationId xmlns:a16="http://schemas.microsoft.com/office/drawing/2014/main" id="{434CF92B-90F1-3F29-3794-6AAF3C006F1C}"/>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25</xdr:row>
      <xdr:rowOff>64766</xdr:rowOff>
    </xdr:from>
    <xdr:to>
      <xdr:col>0</xdr:col>
      <xdr:colOff>1712668</xdr:colOff>
      <xdr:row>25</xdr:row>
      <xdr:rowOff>520344</xdr:rowOff>
    </xdr:to>
    <xdr:grpSp>
      <xdr:nvGrpSpPr>
        <xdr:cNvPr id="150" name="Group 149">
          <a:extLst>
            <a:ext uri="{FF2B5EF4-FFF2-40B4-BE49-F238E27FC236}">
              <a16:creationId xmlns:a16="http://schemas.microsoft.com/office/drawing/2014/main" id="{57FE709A-F76F-EB83-B668-C0601FB98A8F}"/>
            </a:ext>
          </a:extLst>
        </xdr:cNvPr>
        <xdr:cNvGrpSpPr/>
      </xdr:nvGrpSpPr>
      <xdr:grpSpPr>
        <a:xfrm>
          <a:off x="5499" y="10961366"/>
          <a:ext cx="1707169" cy="455578"/>
          <a:chOff x="5723" y="10874564"/>
          <a:chExt cx="1725184" cy="455447"/>
        </a:xfrm>
      </xdr:grpSpPr>
      <xdr:sp macro="" textlink="">
        <xdr:nvSpPr>
          <xdr:cNvPr id="177" name="Rectangle: Rounded Corners 176">
            <a:extLst>
              <a:ext uri="{FF2B5EF4-FFF2-40B4-BE49-F238E27FC236}">
                <a16:creationId xmlns:a16="http://schemas.microsoft.com/office/drawing/2014/main" id="{6C709973-BE96-EA04-3BFF-06ECF2F094DF}"/>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24"/>
            <a:extLst>
              <a:ext uri="{FF2B5EF4-FFF2-40B4-BE49-F238E27FC236}">
                <a16:creationId xmlns:a16="http://schemas.microsoft.com/office/drawing/2014/main" id="{C33DD1D7-E8B0-96C1-84EC-CDDBF932E226}"/>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9" name="Oval 178">
            <a:extLst>
              <a:ext uri="{FF2B5EF4-FFF2-40B4-BE49-F238E27FC236}">
                <a16:creationId xmlns:a16="http://schemas.microsoft.com/office/drawing/2014/main" id="{2C9DA64A-C51E-B7BF-717C-8FD940D65A15}"/>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24"/>
            <a:extLst>
              <a:ext uri="{FF2B5EF4-FFF2-40B4-BE49-F238E27FC236}">
                <a16:creationId xmlns:a16="http://schemas.microsoft.com/office/drawing/2014/main" id="{93D81E2E-75A2-1042-EF8F-308209456641}"/>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25</xdr:row>
      <xdr:rowOff>539182</xdr:rowOff>
    </xdr:from>
    <xdr:to>
      <xdr:col>0</xdr:col>
      <xdr:colOff>1711471</xdr:colOff>
      <xdr:row>26</xdr:row>
      <xdr:rowOff>475209</xdr:rowOff>
    </xdr:to>
    <xdr:grpSp>
      <xdr:nvGrpSpPr>
        <xdr:cNvPr id="151" name="Group 150">
          <a:extLst>
            <a:ext uri="{FF2B5EF4-FFF2-40B4-BE49-F238E27FC236}">
              <a16:creationId xmlns:a16="http://schemas.microsoft.com/office/drawing/2014/main" id="{307C53E0-CA87-1CD2-E57E-DEAC3898AE04}"/>
            </a:ext>
          </a:extLst>
        </xdr:cNvPr>
        <xdr:cNvGrpSpPr/>
      </xdr:nvGrpSpPr>
      <xdr:grpSpPr>
        <a:xfrm>
          <a:off x="4302" y="11435782"/>
          <a:ext cx="1707169" cy="488477"/>
          <a:chOff x="4477" y="11347997"/>
          <a:chExt cx="1725184" cy="480012"/>
        </a:xfrm>
      </xdr:grpSpPr>
      <xdr:sp macro="" textlink="">
        <xdr:nvSpPr>
          <xdr:cNvPr id="173" name="Rectangle: Rounded Corners 172">
            <a:extLst>
              <a:ext uri="{FF2B5EF4-FFF2-40B4-BE49-F238E27FC236}">
                <a16:creationId xmlns:a16="http://schemas.microsoft.com/office/drawing/2014/main" id="{57C018C9-F33B-3897-D4AF-EA0A50B8283D}"/>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25"/>
            <a:extLst>
              <a:ext uri="{FF2B5EF4-FFF2-40B4-BE49-F238E27FC236}">
                <a16:creationId xmlns:a16="http://schemas.microsoft.com/office/drawing/2014/main" id="{8F1E9632-826C-FBE4-81E1-078B143EEA04}"/>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5" name="Oval 174">
            <a:extLst>
              <a:ext uri="{FF2B5EF4-FFF2-40B4-BE49-F238E27FC236}">
                <a16:creationId xmlns:a16="http://schemas.microsoft.com/office/drawing/2014/main" id="{76E23A20-3430-3D4B-D553-EAF3C9F7D09C}"/>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25"/>
            <a:extLst>
              <a:ext uri="{FF2B5EF4-FFF2-40B4-BE49-F238E27FC236}">
                <a16:creationId xmlns:a16="http://schemas.microsoft.com/office/drawing/2014/main" id="{FAA2AE81-150B-6994-FBE2-6371E2271DC5}"/>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14</xdr:row>
      <xdr:rowOff>309897</xdr:rowOff>
    </xdr:from>
    <xdr:to>
      <xdr:col>0</xdr:col>
      <xdr:colOff>1707169</xdr:colOff>
      <xdr:row>16</xdr:row>
      <xdr:rowOff>58716</xdr:rowOff>
    </xdr:to>
    <xdr:grpSp>
      <xdr:nvGrpSpPr>
        <xdr:cNvPr id="152" name="Group 151">
          <a:extLst>
            <a:ext uri="{FF2B5EF4-FFF2-40B4-BE49-F238E27FC236}">
              <a16:creationId xmlns:a16="http://schemas.microsoft.com/office/drawing/2014/main" id="{3A84A25F-EEF9-7A3B-3EB5-879889BB2175}"/>
            </a:ext>
          </a:extLst>
        </xdr:cNvPr>
        <xdr:cNvGrpSpPr/>
      </xdr:nvGrpSpPr>
      <xdr:grpSpPr>
        <a:xfrm>
          <a:off x="0" y="6971047"/>
          <a:ext cx="1707169" cy="485419"/>
          <a:chOff x="0" y="6922179"/>
          <a:chExt cx="1725184" cy="482848"/>
        </a:xfrm>
      </xdr:grpSpPr>
      <xdr:sp macro="" textlink="">
        <xdr:nvSpPr>
          <xdr:cNvPr id="169" name="Rectangle: Rounded Corners 168">
            <a:extLst>
              <a:ext uri="{FF2B5EF4-FFF2-40B4-BE49-F238E27FC236}">
                <a16:creationId xmlns:a16="http://schemas.microsoft.com/office/drawing/2014/main" id="{AA3DB267-C85B-DF95-451A-92658D19FC18}"/>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16"/>
            <a:extLst>
              <a:ext uri="{FF2B5EF4-FFF2-40B4-BE49-F238E27FC236}">
                <a16:creationId xmlns:a16="http://schemas.microsoft.com/office/drawing/2014/main" id="{301DCD59-49E7-6922-033D-06DD8D96C6AF}"/>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1" name="Oval 170">
            <a:extLst>
              <a:ext uri="{FF2B5EF4-FFF2-40B4-BE49-F238E27FC236}">
                <a16:creationId xmlns:a16="http://schemas.microsoft.com/office/drawing/2014/main" id="{058D1B9D-EE19-DB5F-5372-50F26500D358}"/>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26"/>
            <a:extLst>
              <a:ext uri="{FF2B5EF4-FFF2-40B4-BE49-F238E27FC236}">
                <a16:creationId xmlns:a16="http://schemas.microsoft.com/office/drawing/2014/main" id="{8F8B3FFF-30EA-9AFB-086B-085E50B39947}"/>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26</xdr:row>
      <xdr:rowOff>487754</xdr:rowOff>
    </xdr:from>
    <xdr:to>
      <xdr:col>0</xdr:col>
      <xdr:colOff>1711953</xdr:colOff>
      <xdr:row>27</xdr:row>
      <xdr:rowOff>239631</xdr:rowOff>
    </xdr:to>
    <xdr:grpSp>
      <xdr:nvGrpSpPr>
        <xdr:cNvPr id="155" name="Group 154">
          <a:extLst>
            <a:ext uri="{FF2B5EF4-FFF2-40B4-BE49-F238E27FC236}">
              <a16:creationId xmlns:a16="http://schemas.microsoft.com/office/drawing/2014/main" id="{088C9038-B660-371C-53B7-9D63CAE846E9}"/>
            </a:ext>
          </a:extLst>
        </xdr:cNvPr>
        <xdr:cNvGrpSpPr/>
      </xdr:nvGrpSpPr>
      <xdr:grpSpPr>
        <a:xfrm>
          <a:off x="5742" y="11936804"/>
          <a:ext cx="1706211" cy="488477"/>
          <a:chOff x="4477" y="11347997"/>
          <a:chExt cx="1725184" cy="480012"/>
        </a:xfrm>
      </xdr:grpSpPr>
      <xdr:sp macro="" textlink="">
        <xdr:nvSpPr>
          <xdr:cNvPr id="161" name="Rectangle: Rounded Corners 160">
            <a:extLst>
              <a:ext uri="{FF2B5EF4-FFF2-40B4-BE49-F238E27FC236}">
                <a16:creationId xmlns:a16="http://schemas.microsoft.com/office/drawing/2014/main" id="{8BF613D4-6E4B-9319-6EEA-B7713712632D}"/>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2" name="TextBox 161">
            <a:hlinkClick xmlns:r="http://schemas.openxmlformats.org/officeDocument/2006/relationships" r:id="rId27"/>
            <a:extLst>
              <a:ext uri="{FF2B5EF4-FFF2-40B4-BE49-F238E27FC236}">
                <a16:creationId xmlns:a16="http://schemas.microsoft.com/office/drawing/2014/main" id="{BC944DA0-4BC6-0264-2501-1109994D1BDA}"/>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63" name="Oval 162">
            <a:extLst>
              <a:ext uri="{FF2B5EF4-FFF2-40B4-BE49-F238E27FC236}">
                <a16:creationId xmlns:a16="http://schemas.microsoft.com/office/drawing/2014/main" id="{6E1BDE2E-80E7-DF21-95AC-CCB9D5C883F2}"/>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64" name="TextBox 163">
            <a:hlinkClick xmlns:r="http://schemas.openxmlformats.org/officeDocument/2006/relationships" r:id="rId27"/>
            <a:extLst>
              <a:ext uri="{FF2B5EF4-FFF2-40B4-BE49-F238E27FC236}">
                <a16:creationId xmlns:a16="http://schemas.microsoft.com/office/drawing/2014/main" id="{61DF4435-3B94-E7E9-F5DD-18C10E748D47}"/>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3" name="Group 2">
          <a:extLst>
            <a:ext uri="{FF2B5EF4-FFF2-40B4-BE49-F238E27FC236}">
              <a16:creationId xmlns:a16="http://schemas.microsoft.com/office/drawing/2014/main" id="{1A5A724E-4389-4E86-A698-675A183FFD24}"/>
            </a:ext>
          </a:extLst>
        </xdr:cNvPr>
        <xdr:cNvGrpSpPr/>
      </xdr:nvGrpSpPr>
      <xdr:grpSpPr>
        <a:xfrm>
          <a:off x="11676411" y="0"/>
          <a:ext cx="0" cy="286106"/>
          <a:chOff x="7108587" y="129950"/>
          <a:chExt cx="884099" cy="287016"/>
        </a:xfrm>
      </xdr:grpSpPr>
      <xdr:pic>
        <xdr:nvPicPr>
          <xdr:cNvPr id="4" name="Graphic 3" descr="Rewind with solid fill">
            <a:hlinkClick xmlns:r="http://schemas.openxmlformats.org/officeDocument/2006/relationships" r:id="rId28"/>
            <a:extLst>
              <a:ext uri="{FF2B5EF4-FFF2-40B4-BE49-F238E27FC236}">
                <a16:creationId xmlns:a16="http://schemas.microsoft.com/office/drawing/2014/main" id="{12706837-28F6-D610-8D12-E3E61FF14758}"/>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5" name="TextBox 4">
            <a:hlinkClick xmlns:r="http://schemas.openxmlformats.org/officeDocument/2006/relationships" r:id="rId28"/>
            <a:extLst>
              <a:ext uri="{FF2B5EF4-FFF2-40B4-BE49-F238E27FC236}">
                <a16:creationId xmlns:a16="http://schemas.microsoft.com/office/drawing/2014/main" id="{0153AC54-9A07-0575-3F6C-85441ECAC910}"/>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6" name="Group 5">
          <a:extLst>
            <a:ext uri="{FF2B5EF4-FFF2-40B4-BE49-F238E27FC236}">
              <a16:creationId xmlns:a16="http://schemas.microsoft.com/office/drawing/2014/main" id="{A6BFEE01-F357-4814-AA60-6692DE509C43}"/>
            </a:ext>
          </a:extLst>
        </xdr:cNvPr>
        <xdr:cNvGrpSpPr/>
      </xdr:nvGrpSpPr>
      <xdr:grpSpPr>
        <a:xfrm>
          <a:off x="11676411" y="50800"/>
          <a:ext cx="0" cy="286106"/>
          <a:chOff x="7108587" y="129950"/>
          <a:chExt cx="884099" cy="287016"/>
        </a:xfrm>
      </xdr:grpSpPr>
      <xdr:pic>
        <xdr:nvPicPr>
          <xdr:cNvPr id="7" name="Graphic 6" descr="Rewind with solid fill">
            <a:hlinkClick xmlns:r="http://schemas.openxmlformats.org/officeDocument/2006/relationships" r:id="rId28"/>
            <a:extLst>
              <a:ext uri="{FF2B5EF4-FFF2-40B4-BE49-F238E27FC236}">
                <a16:creationId xmlns:a16="http://schemas.microsoft.com/office/drawing/2014/main" id="{883DC221-93BF-DF8B-FA50-02D34C4F769D}"/>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8" name="TextBox 7">
            <a:hlinkClick xmlns:r="http://schemas.openxmlformats.org/officeDocument/2006/relationships" r:id="rId28"/>
            <a:extLst>
              <a:ext uri="{FF2B5EF4-FFF2-40B4-BE49-F238E27FC236}">
                <a16:creationId xmlns:a16="http://schemas.microsoft.com/office/drawing/2014/main" id="{6AA2B10D-07DA-91CA-3904-E2669A048715}"/>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9" name="Group 8">
          <a:extLst>
            <a:ext uri="{FF2B5EF4-FFF2-40B4-BE49-F238E27FC236}">
              <a16:creationId xmlns:a16="http://schemas.microsoft.com/office/drawing/2014/main" id="{D097952D-6500-40EA-B46F-F1CA2B128264}"/>
            </a:ext>
          </a:extLst>
        </xdr:cNvPr>
        <xdr:cNvGrpSpPr/>
      </xdr:nvGrpSpPr>
      <xdr:grpSpPr>
        <a:xfrm>
          <a:off x="11676411" y="0"/>
          <a:ext cx="0" cy="286106"/>
          <a:chOff x="7108587" y="129950"/>
          <a:chExt cx="884099" cy="287016"/>
        </a:xfrm>
      </xdr:grpSpPr>
      <xdr:pic>
        <xdr:nvPicPr>
          <xdr:cNvPr id="10" name="Graphic 9" descr="Rewind with solid fill">
            <a:hlinkClick xmlns:r="http://schemas.openxmlformats.org/officeDocument/2006/relationships" r:id="rId28"/>
            <a:extLst>
              <a:ext uri="{FF2B5EF4-FFF2-40B4-BE49-F238E27FC236}">
                <a16:creationId xmlns:a16="http://schemas.microsoft.com/office/drawing/2014/main" id="{127C3F15-356A-A1EB-E6C0-8C7463433D1E}"/>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1" name="TextBox 10">
            <a:hlinkClick xmlns:r="http://schemas.openxmlformats.org/officeDocument/2006/relationships" r:id="rId28"/>
            <a:extLst>
              <a:ext uri="{FF2B5EF4-FFF2-40B4-BE49-F238E27FC236}">
                <a16:creationId xmlns:a16="http://schemas.microsoft.com/office/drawing/2014/main" id="{99C9CC6E-E521-C9EC-18DD-B7A6B08A6FCA}"/>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2" name="Group 11">
          <a:extLst>
            <a:ext uri="{FF2B5EF4-FFF2-40B4-BE49-F238E27FC236}">
              <a16:creationId xmlns:a16="http://schemas.microsoft.com/office/drawing/2014/main" id="{D7C8D7D9-33AE-4D55-BA42-A3760501FD65}"/>
            </a:ext>
          </a:extLst>
        </xdr:cNvPr>
        <xdr:cNvGrpSpPr/>
      </xdr:nvGrpSpPr>
      <xdr:grpSpPr>
        <a:xfrm>
          <a:off x="11676411" y="50800"/>
          <a:ext cx="0" cy="286106"/>
          <a:chOff x="7108587" y="129950"/>
          <a:chExt cx="884099" cy="287016"/>
        </a:xfrm>
      </xdr:grpSpPr>
      <xdr:pic>
        <xdr:nvPicPr>
          <xdr:cNvPr id="13" name="Graphic 12" descr="Rewind with solid fill">
            <a:hlinkClick xmlns:r="http://schemas.openxmlformats.org/officeDocument/2006/relationships" r:id="rId28"/>
            <a:extLst>
              <a:ext uri="{FF2B5EF4-FFF2-40B4-BE49-F238E27FC236}">
                <a16:creationId xmlns:a16="http://schemas.microsoft.com/office/drawing/2014/main" id="{A961AFBD-9D04-78B8-3E25-2C5EC1A81EB0}"/>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4" name="TextBox 13">
            <a:hlinkClick xmlns:r="http://schemas.openxmlformats.org/officeDocument/2006/relationships" r:id="rId28"/>
            <a:extLst>
              <a:ext uri="{FF2B5EF4-FFF2-40B4-BE49-F238E27FC236}">
                <a16:creationId xmlns:a16="http://schemas.microsoft.com/office/drawing/2014/main" id="{39E574B6-F67F-23DF-968A-ED5A10650DC4}"/>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15" name="Group 14">
          <a:extLst>
            <a:ext uri="{FF2B5EF4-FFF2-40B4-BE49-F238E27FC236}">
              <a16:creationId xmlns:a16="http://schemas.microsoft.com/office/drawing/2014/main" id="{61DAE5F3-FBDD-45F9-B8E3-D26C9450FC14}"/>
            </a:ext>
          </a:extLst>
        </xdr:cNvPr>
        <xdr:cNvGrpSpPr/>
      </xdr:nvGrpSpPr>
      <xdr:grpSpPr>
        <a:xfrm>
          <a:off x="11676411" y="0"/>
          <a:ext cx="0" cy="286106"/>
          <a:chOff x="7108587" y="129950"/>
          <a:chExt cx="884099" cy="287016"/>
        </a:xfrm>
      </xdr:grpSpPr>
      <xdr:pic>
        <xdr:nvPicPr>
          <xdr:cNvPr id="16" name="Graphic 15" descr="Rewind with solid fill">
            <a:hlinkClick xmlns:r="http://schemas.openxmlformats.org/officeDocument/2006/relationships" r:id="rId28"/>
            <a:extLst>
              <a:ext uri="{FF2B5EF4-FFF2-40B4-BE49-F238E27FC236}">
                <a16:creationId xmlns:a16="http://schemas.microsoft.com/office/drawing/2014/main" id="{63CAAF53-381C-5C62-F7C2-F6365EC8163B}"/>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7" name="TextBox 16">
            <a:hlinkClick xmlns:r="http://schemas.openxmlformats.org/officeDocument/2006/relationships" r:id="rId28"/>
            <a:extLst>
              <a:ext uri="{FF2B5EF4-FFF2-40B4-BE49-F238E27FC236}">
                <a16:creationId xmlns:a16="http://schemas.microsoft.com/office/drawing/2014/main" id="{87711E7F-A00B-80DA-5F8E-5F52320DFFEB}"/>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8" name="Group 17">
          <a:extLst>
            <a:ext uri="{FF2B5EF4-FFF2-40B4-BE49-F238E27FC236}">
              <a16:creationId xmlns:a16="http://schemas.microsoft.com/office/drawing/2014/main" id="{65FE29CE-A6EE-4FCE-91C3-593E8CB9811D}"/>
            </a:ext>
          </a:extLst>
        </xdr:cNvPr>
        <xdr:cNvGrpSpPr/>
      </xdr:nvGrpSpPr>
      <xdr:grpSpPr>
        <a:xfrm>
          <a:off x="11676411" y="50800"/>
          <a:ext cx="0" cy="286106"/>
          <a:chOff x="7108587" y="129950"/>
          <a:chExt cx="884099" cy="287016"/>
        </a:xfrm>
      </xdr:grpSpPr>
      <xdr:pic>
        <xdr:nvPicPr>
          <xdr:cNvPr id="19" name="Graphic 18" descr="Rewind with solid fill">
            <a:hlinkClick xmlns:r="http://schemas.openxmlformats.org/officeDocument/2006/relationships" r:id="rId28"/>
            <a:extLst>
              <a:ext uri="{FF2B5EF4-FFF2-40B4-BE49-F238E27FC236}">
                <a16:creationId xmlns:a16="http://schemas.microsoft.com/office/drawing/2014/main" id="{89AAB458-33AB-8D07-6E15-5BB29D068111}"/>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0" name="TextBox 19">
            <a:hlinkClick xmlns:r="http://schemas.openxmlformats.org/officeDocument/2006/relationships" r:id="rId28"/>
            <a:extLst>
              <a:ext uri="{FF2B5EF4-FFF2-40B4-BE49-F238E27FC236}">
                <a16:creationId xmlns:a16="http://schemas.microsoft.com/office/drawing/2014/main" id="{14CC048E-7BCF-FFBE-5925-4C2164A7400A}"/>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21" name="Group 20">
          <a:extLst>
            <a:ext uri="{FF2B5EF4-FFF2-40B4-BE49-F238E27FC236}">
              <a16:creationId xmlns:a16="http://schemas.microsoft.com/office/drawing/2014/main" id="{CAF804F0-08AA-44EC-95F3-A50D0D156AFB}"/>
            </a:ext>
          </a:extLst>
        </xdr:cNvPr>
        <xdr:cNvGrpSpPr/>
      </xdr:nvGrpSpPr>
      <xdr:grpSpPr>
        <a:xfrm>
          <a:off x="11676411" y="0"/>
          <a:ext cx="0" cy="286106"/>
          <a:chOff x="7108587" y="129950"/>
          <a:chExt cx="884099" cy="287016"/>
        </a:xfrm>
      </xdr:grpSpPr>
      <xdr:pic>
        <xdr:nvPicPr>
          <xdr:cNvPr id="22" name="Graphic 21" descr="Rewind with solid fill">
            <a:hlinkClick xmlns:r="http://schemas.openxmlformats.org/officeDocument/2006/relationships" r:id="rId28"/>
            <a:extLst>
              <a:ext uri="{FF2B5EF4-FFF2-40B4-BE49-F238E27FC236}">
                <a16:creationId xmlns:a16="http://schemas.microsoft.com/office/drawing/2014/main" id="{253BF73B-4D81-FF54-55B9-F9449851D2FF}"/>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3" name="TextBox 22">
            <a:hlinkClick xmlns:r="http://schemas.openxmlformats.org/officeDocument/2006/relationships" r:id="rId28"/>
            <a:extLst>
              <a:ext uri="{FF2B5EF4-FFF2-40B4-BE49-F238E27FC236}">
                <a16:creationId xmlns:a16="http://schemas.microsoft.com/office/drawing/2014/main" id="{13DBF451-BF44-26C2-8B87-F6D6477B3C17}"/>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24" name="Group 23">
          <a:extLst>
            <a:ext uri="{FF2B5EF4-FFF2-40B4-BE49-F238E27FC236}">
              <a16:creationId xmlns:a16="http://schemas.microsoft.com/office/drawing/2014/main" id="{30A9EBD6-84CF-4099-AFBA-41A780A9429B}"/>
            </a:ext>
          </a:extLst>
        </xdr:cNvPr>
        <xdr:cNvGrpSpPr/>
      </xdr:nvGrpSpPr>
      <xdr:grpSpPr>
        <a:xfrm>
          <a:off x="11676411" y="50800"/>
          <a:ext cx="0" cy="286106"/>
          <a:chOff x="7108587" y="129950"/>
          <a:chExt cx="884099" cy="287016"/>
        </a:xfrm>
      </xdr:grpSpPr>
      <xdr:pic>
        <xdr:nvPicPr>
          <xdr:cNvPr id="25" name="Graphic 24" descr="Rewind with solid fill">
            <a:hlinkClick xmlns:r="http://schemas.openxmlformats.org/officeDocument/2006/relationships" r:id="rId28"/>
            <a:extLst>
              <a:ext uri="{FF2B5EF4-FFF2-40B4-BE49-F238E27FC236}">
                <a16:creationId xmlns:a16="http://schemas.microsoft.com/office/drawing/2014/main" id="{FFF51EE4-BBBB-24D6-2FB1-72CE0A322DA5}"/>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6" name="TextBox 25">
            <a:hlinkClick xmlns:r="http://schemas.openxmlformats.org/officeDocument/2006/relationships" r:id="rId28"/>
            <a:extLst>
              <a:ext uri="{FF2B5EF4-FFF2-40B4-BE49-F238E27FC236}">
                <a16:creationId xmlns:a16="http://schemas.microsoft.com/office/drawing/2014/main" id="{D412CDDA-6EBA-24AA-895D-AC10B053830C}"/>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27" name="Group 26">
          <a:extLst>
            <a:ext uri="{FF2B5EF4-FFF2-40B4-BE49-F238E27FC236}">
              <a16:creationId xmlns:a16="http://schemas.microsoft.com/office/drawing/2014/main" id="{514DE9CD-C01C-4F82-8A50-92735FB53E58}"/>
            </a:ext>
          </a:extLst>
        </xdr:cNvPr>
        <xdr:cNvGrpSpPr/>
      </xdr:nvGrpSpPr>
      <xdr:grpSpPr>
        <a:xfrm>
          <a:off x="10185400" y="0"/>
          <a:ext cx="774288" cy="286106"/>
          <a:chOff x="7108587" y="129950"/>
          <a:chExt cx="884099" cy="287016"/>
        </a:xfrm>
      </xdr:grpSpPr>
      <xdr:pic>
        <xdr:nvPicPr>
          <xdr:cNvPr id="28" name="Graphic 27" descr="Rewind with solid fill">
            <a:hlinkClick xmlns:r="http://schemas.openxmlformats.org/officeDocument/2006/relationships" r:id="rId28"/>
            <a:extLst>
              <a:ext uri="{FF2B5EF4-FFF2-40B4-BE49-F238E27FC236}">
                <a16:creationId xmlns:a16="http://schemas.microsoft.com/office/drawing/2014/main" id="{0A537F19-B549-7578-DE89-EF28D8406A26}"/>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9" name="TextBox 28">
            <a:hlinkClick xmlns:r="http://schemas.openxmlformats.org/officeDocument/2006/relationships" r:id="rId28"/>
            <a:extLst>
              <a:ext uri="{FF2B5EF4-FFF2-40B4-BE49-F238E27FC236}">
                <a16:creationId xmlns:a16="http://schemas.microsoft.com/office/drawing/2014/main" id="{F6C90F93-3031-7F6A-DE51-91398BA8BD0F}"/>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27</xdr:row>
      <xdr:rowOff>273050</xdr:rowOff>
    </xdr:from>
    <xdr:to>
      <xdr:col>0</xdr:col>
      <xdr:colOff>1713549</xdr:colOff>
      <xdr:row>31</xdr:row>
      <xdr:rowOff>112134</xdr:rowOff>
    </xdr:to>
    <xdr:grpSp>
      <xdr:nvGrpSpPr>
        <xdr:cNvPr id="30" name="Group 29">
          <a:extLst>
            <a:ext uri="{FF2B5EF4-FFF2-40B4-BE49-F238E27FC236}">
              <a16:creationId xmlns:a16="http://schemas.microsoft.com/office/drawing/2014/main" id="{916CA9EE-4FE7-461F-A097-3D97D8A82AF1}"/>
            </a:ext>
          </a:extLst>
        </xdr:cNvPr>
        <xdr:cNvGrpSpPr/>
      </xdr:nvGrpSpPr>
      <xdr:grpSpPr>
        <a:xfrm>
          <a:off x="0" y="12458700"/>
          <a:ext cx="1713549" cy="2233034"/>
          <a:chOff x="5137727" y="13144500"/>
          <a:chExt cx="1713549" cy="2252946"/>
        </a:xfrm>
      </xdr:grpSpPr>
      <xdr:grpSp>
        <xdr:nvGrpSpPr>
          <xdr:cNvPr id="31" name="Group 30">
            <a:extLst>
              <a:ext uri="{FF2B5EF4-FFF2-40B4-BE49-F238E27FC236}">
                <a16:creationId xmlns:a16="http://schemas.microsoft.com/office/drawing/2014/main" id="{A81A40C5-B6F3-43EE-15DD-FE40A671E62C}"/>
              </a:ext>
            </a:extLst>
          </xdr:cNvPr>
          <xdr:cNvGrpSpPr/>
        </xdr:nvGrpSpPr>
        <xdr:grpSpPr>
          <a:xfrm>
            <a:off x="5144107" y="13624532"/>
            <a:ext cx="1707169" cy="465099"/>
            <a:chOff x="3415" y="11846315"/>
            <a:chExt cx="1725184" cy="456487"/>
          </a:xfrm>
        </xdr:grpSpPr>
        <xdr:sp macro="" textlink="">
          <xdr:nvSpPr>
            <xdr:cNvPr id="48" name="Rectangle: Rounded Corners 47">
              <a:extLst>
                <a:ext uri="{FF2B5EF4-FFF2-40B4-BE49-F238E27FC236}">
                  <a16:creationId xmlns:a16="http://schemas.microsoft.com/office/drawing/2014/main" id="{8E60D00D-8DEE-B2EC-F658-6FDF11419E97}"/>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3"/>
              <a:extLst>
                <a:ext uri="{FF2B5EF4-FFF2-40B4-BE49-F238E27FC236}">
                  <a16:creationId xmlns:a16="http://schemas.microsoft.com/office/drawing/2014/main" id="{E16E5053-2975-6C79-301E-3B576F1718CB}"/>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50" name="Oval 49">
              <a:extLst>
                <a:ext uri="{FF2B5EF4-FFF2-40B4-BE49-F238E27FC236}">
                  <a16:creationId xmlns:a16="http://schemas.microsoft.com/office/drawing/2014/main" id="{F32B4B3D-68A4-A20B-268B-2E29FDFBAAAE}"/>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31"/>
              <a:extLst>
                <a:ext uri="{FF2B5EF4-FFF2-40B4-BE49-F238E27FC236}">
                  <a16:creationId xmlns:a16="http://schemas.microsoft.com/office/drawing/2014/main" id="{EA7B5F6B-6A1C-0FA7-3C27-BFCE8CD7C4F7}"/>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32" name="Group 31">
            <a:extLst>
              <a:ext uri="{FF2B5EF4-FFF2-40B4-BE49-F238E27FC236}">
                <a16:creationId xmlns:a16="http://schemas.microsoft.com/office/drawing/2014/main" id="{245A4B12-2C2C-EE9D-ADB6-BAF683427335}"/>
              </a:ext>
            </a:extLst>
          </xdr:cNvPr>
          <xdr:cNvGrpSpPr/>
        </xdr:nvGrpSpPr>
        <xdr:grpSpPr>
          <a:xfrm>
            <a:off x="5141639" y="14111307"/>
            <a:ext cx="1707169" cy="494728"/>
            <a:chOff x="847" y="12324893"/>
            <a:chExt cx="1725184" cy="486884"/>
          </a:xfrm>
        </xdr:grpSpPr>
        <xdr:sp macro="" textlink="">
          <xdr:nvSpPr>
            <xdr:cNvPr id="44" name="Rectangle: Rounded Corners 43">
              <a:extLst>
                <a:ext uri="{FF2B5EF4-FFF2-40B4-BE49-F238E27FC236}">
                  <a16:creationId xmlns:a16="http://schemas.microsoft.com/office/drawing/2014/main" id="{5F416D7E-C966-F05F-6D47-C8F780BEDAA8}"/>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5" name="TextBox 44">
              <a:hlinkClick xmlns:r="http://schemas.openxmlformats.org/officeDocument/2006/relationships" r:id="rId32"/>
              <a:extLst>
                <a:ext uri="{FF2B5EF4-FFF2-40B4-BE49-F238E27FC236}">
                  <a16:creationId xmlns:a16="http://schemas.microsoft.com/office/drawing/2014/main" id="{5FDBB822-CD5F-75CE-27FA-C7CC93E9CEC9}"/>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6" name="Oval 45">
              <a:extLst>
                <a:ext uri="{FF2B5EF4-FFF2-40B4-BE49-F238E27FC236}">
                  <a16:creationId xmlns:a16="http://schemas.microsoft.com/office/drawing/2014/main" id="{4A37C17A-51D1-B962-D22E-FE0156930DB0}"/>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32"/>
              <a:extLst>
                <a:ext uri="{FF2B5EF4-FFF2-40B4-BE49-F238E27FC236}">
                  <a16:creationId xmlns:a16="http://schemas.microsoft.com/office/drawing/2014/main" id="{75A8B791-D6E7-7494-C479-0DF3F1AB29AA}"/>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33" name="TextBox 32">
            <a:extLst>
              <a:ext uri="{FF2B5EF4-FFF2-40B4-BE49-F238E27FC236}">
                <a16:creationId xmlns:a16="http://schemas.microsoft.com/office/drawing/2014/main" id="{4A95673F-E381-0A2B-5B5D-E34E9C5E186F}"/>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34" name="Group 33">
            <a:extLst>
              <a:ext uri="{FF2B5EF4-FFF2-40B4-BE49-F238E27FC236}">
                <a16:creationId xmlns:a16="http://schemas.microsoft.com/office/drawing/2014/main" id="{89533BB8-A49B-1994-55B2-AF3BA3820332}"/>
              </a:ext>
            </a:extLst>
          </xdr:cNvPr>
          <xdr:cNvGrpSpPr/>
        </xdr:nvGrpSpPr>
        <xdr:grpSpPr>
          <a:xfrm>
            <a:off x="5138008" y="14617043"/>
            <a:ext cx="1708983" cy="494290"/>
            <a:chOff x="847" y="12324893"/>
            <a:chExt cx="1725184" cy="486884"/>
          </a:xfrm>
        </xdr:grpSpPr>
        <xdr:sp macro="" textlink="">
          <xdr:nvSpPr>
            <xdr:cNvPr id="40" name="Rectangle: Rounded Corners 39">
              <a:extLst>
                <a:ext uri="{FF2B5EF4-FFF2-40B4-BE49-F238E27FC236}">
                  <a16:creationId xmlns:a16="http://schemas.microsoft.com/office/drawing/2014/main" id="{38518DFB-A02E-ACDB-9FC2-6EFC1BF6D81A}"/>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33"/>
              <a:extLst>
                <a:ext uri="{FF2B5EF4-FFF2-40B4-BE49-F238E27FC236}">
                  <a16:creationId xmlns:a16="http://schemas.microsoft.com/office/drawing/2014/main" id="{8C218788-29C8-E370-91C2-9664A60A828F}"/>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2" name="Oval 41">
              <a:extLst>
                <a:ext uri="{FF2B5EF4-FFF2-40B4-BE49-F238E27FC236}">
                  <a16:creationId xmlns:a16="http://schemas.microsoft.com/office/drawing/2014/main" id="{4F201F6F-E45C-B683-303C-6F3C41B12B2A}"/>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3" name="TextBox 42">
              <a:hlinkClick xmlns:r="http://schemas.openxmlformats.org/officeDocument/2006/relationships" r:id="rId33"/>
              <a:extLst>
                <a:ext uri="{FF2B5EF4-FFF2-40B4-BE49-F238E27FC236}">
                  <a16:creationId xmlns:a16="http://schemas.microsoft.com/office/drawing/2014/main" id="{497335F8-48FA-21B7-2CEA-047CBD6C8333}"/>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35" name="Group 34">
            <a:extLst>
              <a:ext uri="{FF2B5EF4-FFF2-40B4-BE49-F238E27FC236}">
                <a16:creationId xmlns:a16="http://schemas.microsoft.com/office/drawing/2014/main" id="{DCBF72AA-BBAB-8A31-E171-09B1FC86366A}"/>
              </a:ext>
            </a:extLst>
          </xdr:cNvPr>
          <xdr:cNvGrpSpPr/>
        </xdr:nvGrpSpPr>
        <xdr:grpSpPr>
          <a:xfrm>
            <a:off x="5137727" y="13144500"/>
            <a:ext cx="1707169" cy="464661"/>
            <a:chOff x="3415" y="11846315"/>
            <a:chExt cx="1725184" cy="456487"/>
          </a:xfrm>
        </xdr:grpSpPr>
        <xdr:sp macro="" textlink="">
          <xdr:nvSpPr>
            <xdr:cNvPr id="36" name="Rectangle: Rounded Corners 35">
              <a:hlinkClick xmlns:r="http://schemas.openxmlformats.org/officeDocument/2006/relationships" r:id="rId34"/>
              <a:extLst>
                <a:ext uri="{FF2B5EF4-FFF2-40B4-BE49-F238E27FC236}">
                  <a16:creationId xmlns:a16="http://schemas.microsoft.com/office/drawing/2014/main" id="{5574AE7C-4220-3999-3997-9CE2A41CECD8}"/>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7" name="TextBox 36">
              <a:hlinkClick xmlns:r="http://schemas.openxmlformats.org/officeDocument/2006/relationships" r:id="rId34"/>
              <a:extLst>
                <a:ext uri="{FF2B5EF4-FFF2-40B4-BE49-F238E27FC236}">
                  <a16:creationId xmlns:a16="http://schemas.microsoft.com/office/drawing/2014/main" id="{D13C9E5E-A0FD-EA27-8CB9-41FEF7C106CA}"/>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38" name="Oval 37">
              <a:hlinkClick xmlns:r="http://schemas.openxmlformats.org/officeDocument/2006/relationships" r:id="rId34"/>
              <a:extLst>
                <a:ext uri="{FF2B5EF4-FFF2-40B4-BE49-F238E27FC236}">
                  <a16:creationId xmlns:a16="http://schemas.microsoft.com/office/drawing/2014/main" id="{75421C47-4994-49C1-E1C0-7573C7841F03}"/>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34"/>
              <a:extLst>
                <a:ext uri="{FF2B5EF4-FFF2-40B4-BE49-F238E27FC236}">
                  <a16:creationId xmlns:a16="http://schemas.microsoft.com/office/drawing/2014/main" id="{D5DAC594-9799-E2DC-6DC8-E8C260ACA17C}"/>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twoCellAnchor>
    <xdr:from>
      <xdr:col>6</xdr:col>
      <xdr:colOff>608361</xdr:colOff>
      <xdr:row>0</xdr:row>
      <xdr:rowOff>0</xdr:rowOff>
    </xdr:from>
    <xdr:to>
      <xdr:col>6</xdr:col>
      <xdr:colOff>608361</xdr:colOff>
      <xdr:row>1</xdr:row>
      <xdr:rowOff>82906</xdr:rowOff>
    </xdr:to>
    <xdr:grpSp>
      <xdr:nvGrpSpPr>
        <xdr:cNvPr id="2" name="Group 1">
          <a:extLst>
            <a:ext uri="{FF2B5EF4-FFF2-40B4-BE49-F238E27FC236}">
              <a16:creationId xmlns:a16="http://schemas.microsoft.com/office/drawing/2014/main" id="{723DB4FF-2B3F-4062-9AA6-3507BFA004B7}"/>
            </a:ext>
          </a:extLst>
        </xdr:cNvPr>
        <xdr:cNvGrpSpPr/>
      </xdr:nvGrpSpPr>
      <xdr:grpSpPr>
        <a:xfrm>
          <a:off x="11676411" y="0"/>
          <a:ext cx="0" cy="286106"/>
          <a:chOff x="7108587" y="129950"/>
          <a:chExt cx="884099" cy="287016"/>
        </a:xfrm>
      </xdr:grpSpPr>
      <xdr:pic>
        <xdr:nvPicPr>
          <xdr:cNvPr id="52" name="Graphic 51" descr="Rewind with solid fill">
            <a:hlinkClick xmlns:r="http://schemas.openxmlformats.org/officeDocument/2006/relationships" r:id="rId28"/>
            <a:extLst>
              <a:ext uri="{FF2B5EF4-FFF2-40B4-BE49-F238E27FC236}">
                <a16:creationId xmlns:a16="http://schemas.microsoft.com/office/drawing/2014/main" id="{B508A1C4-1B3A-A798-6577-AE422A247B9C}"/>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53" name="TextBox 52">
            <a:hlinkClick xmlns:r="http://schemas.openxmlformats.org/officeDocument/2006/relationships" r:id="rId28"/>
            <a:extLst>
              <a:ext uri="{FF2B5EF4-FFF2-40B4-BE49-F238E27FC236}">
                <a16:creationId xmlns:a16="http://schemas.microsoft.com/office/drawing/2014/main" id="{1992A81B-5830-B9B7-4044-741AB724C92A}"/>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54" name="Group 53">
          <a:extLst>
            <a:ext uri="{FF2B5EF4-FFF2-40B4-BE49-F238E27FC236}">
              <a16:creationId xmlns:a16="http://schemas.microsoft.com/office/drawing/2014/main" id="{F84D5BB2-D7A6-453F-A715-83535C88EBE0}"/>
            </a:ext>
          </a:extLst>
        </xdr:cNvPr>
        <xdr:cNvGrpSpPr/>
      </xdr:nvGrpSpPr>
      <xdr:grpSpPr>
        <a:xfrm>
          <a:off x="11676411" y="50800"/>
          <a:ext cx="0" cy="286106"/>
          <a:chOff x="7108587" y="129950"/>
          <a:chExt cx="884099" cy="287016"/>
        </a:xfrm>
      </xdr:grpSpPr>
      <xdr:pic>
        <xdr:nvPicPr>
          <xdr:cNvPr id="55" name="Graphic 54" descr="Rewind with solid fill">
            <a:hlinkClick xmlns:r="http://schemas.openxmlformats.org/officeDocument/2006/relationships" r:id="rId28"/>
            <a:extLst>
              <a:ext uri="{FF2B5EF4-FFF2-40B4-BE49-F238E27FC236}">
                <a16:creationId xmlns:a16="http://schemas.microsoft.com/office/drawing/2014/main" id="{FF453E01-BDE4-E601-8F7E-D9C4AEAE2AF7}"/>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56" name="TextBox 55">
            <a:hlinkClick xmlns:r="http://schemas.openxmlformats.org/officeDocument/2006/relationships" r:id="rId28"/>
            <a:extLst>
              <a:ext uri="{FF2B5EF4-FFF2-40B4-BE49-F238E27FC236}">
                <a16:creationId xmlns:a16="http://schemas.microsoft.com/office/drawing/2014/main" id="{A9A808CF-3008-153C-A146-5E714BF5D0D7}"/>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57" name="Group 56">
          <a:extLst>
            <a:ext uri="{FF2B5EF4-FFF2-40B4-BE49-F238E27FC236}">
              <a16:creationId xmlns:a16="http://schemas.microsoft.com/office/drawing/2014/main" id="{3FE681DF-A921-44EE-9243-612FE7662F53}"/>
            </a:ext>
          </a:extLst>
        </xdr:cNvPr>
        <xdr:cNvGrpSpPr/>
      </xdr:nvGrpSpPr>
      <xdr:grpSpPr>
        <a:xfrm>
          <a:off x="11676411" y="0"/>
          <a:ext cx="0" cy="286106"/>
          <a:chOff x="7108587" y="129950"/>
          <a:chExt cx="884099" cy="287016"/>
        </a:xfrm>
      </xdr:grpSpPr>
      <xdr:pic>
        <xdr:nvPicPr>
          <xdr:cNvPr id="58" name="Graphic 57" descr="Rewind with solid fill">
            <a:hlinkClick xmlns:r="http://schemas.openxmlformats.org/officeDocument/2006/relationships" r:id="rId28"/>
            <a:extLst>
              <a:ext uri="{FF2B5EF4-FFF2-40B4-BE49-F238E27FC236}">
                <a16:creationId xmlns:a16="http://schemas.microsoft.com/office/drawing/2014/main" id="{5E1DC33E-FCC5-1092-85FF-6355C277FB47}"/>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59" name="TextBox 58">
            <a:hlinkClick xmlns:r="http://schemas.openxmlformats.org/officeDocument/2006/relationships" r:id="rId28"/>
            <a:extLst>
              <a:ext uri="{FF2B5EF4-FFF2-40B4-BE49-F238E27FC236}">
                <a16:creationId xmlns:a16="http://schemas.microsoft.com/office/drawing/2014/main" id="{EE1FC927-25BF-D80E-4B1E-2CF97EBFDEBD}"/>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60" name="Group 59">
          <a:extLst>
            <a:ext uri="{FF2B5EF4-FFF2-40B4-BE49-F238E27FC236}">
              <a16:creationId xmlns:a16="http://schemas.microsoft.com/office/drawing/2014/main" id="{5D814BBB-9518-4638-9A63-EAAD2F772059}"/>
            </a:ext>
          </a:extLst>
        </xdr:cNvPr>
        <xdr:cNvGrpSpPr/>
      </xdr:nvGrpSpPr>
      <xdr:grpSpPr>
        <a:xfrm>
          <a:off x="11676411" y="50800"/>
          <a:ext cx="0" cy="286106"/>
          <a:chOff x="7108587" y="129950"/>
          <a:chExt cx="884099" cy="287016"/>
        </a:xfrm>
      </xdr:grpSpPr>
      <xdr:pic>
        <xdr:nvPicPr>
          <xdr:cNvPr id="61" name="Graphic 60" descr="Rewind with solid fill">
            <a:hlinkClick xmlns:r="http://schemas.openxmlformats.org/officeDocument/2006/relationships" r:id="rId28"/>
            <a:extLst>
              <a:ext uri="{FF2B5EF4-FFF2-40B4-BE49-F238E27FC236}">
                <a16:creationId xmlns:a16="http://schemas.microsoft.com/office/drawing/2014/main" id="{14288324-FC9A-BD2B-4C9E-CA39D167CB70}"/>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62" name="TextBox 61">
            <a:hlinkClick xmlns:r="http://schemas.openxmlformats.org/officeDocument/2006/relationships" r:id="rId28"/>
            <a:extLst>
              <a:ext uri="{FF2B5EF4-FFF2-40B4-BE49-F238E27FC236}">
                <a16:creationId xmlns:a16="http://schemas.microsoft.com/office/drawing/2014/main" id="{8D740CC5-0FEF-CCBB-4256-22920196649F}"/>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63" name="Group 62">
          <a:extLst>
            <a:ext uri="{FF2B5EF4-FFF2-40B4-BE49-F238E27FC236}">
              <a16:creationId xmlns:a16="http://schemas.microsoft.com/office/drawing/2014/main" id="{D3438247-2202-4E4F-AF74-066C84A322DD}"/>
            </a:ext>
          </a:extLst>
        </xdr:cNvPr>
        <xdr:cNvGrpSpPr/>
      </xdr:nvGrpSpPr>
      <xdr:grpSpPr>
        <a:xfrm>
          <a:off x="11676411" y="0"/>
          <a:ext cx="0" cy="286106"/>
          <a:chOff x="7108587" y="129950"/>
          <a:chExt cx="884099" cy="287016"/>
        </a:xfrm>
      </xdr:grpSpPr>
      <xdr:pic>
        <xdr:nvPicPr>
          <xdr:cNvPr id="64" name="Graphic 63" descr="Rewind with solid fill">
            <a:hlinkClick xmlns:r="http://schemas.openxmlformats.org/officeDocument/2006/relationships" r:id="rId28"/>
            <a:extLst>
              <a:ext uri="{FF2B5EF4-FFF2-40B4-BE49-F238E27FC236}">
                <a16:creationId xmlns:a16="http://schemas.microsoft.com/office/drawing/2014/main" id="{19DDA141-7479-F69E-1FAB-3D9207682678}"/>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65" name="TextBox 64">
            <a:hlinkClick xmlns:r="http://schemas.openxmlformats.org/officeDocument/2006/relationships" r:id="rId28"/>
            <a:extLst>
              <a:ext uri="{FF2B5EF4-FFF2-40B4-BE49-F238E27FC236}">
                <a16:creationId xmlns:a16="http://schemas.microsoft.com/office/drawing/2014/main" id="{E7164577-C3DE-485A-EEB7-6903D4D5D06C}"/>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29</xdr:row>
      <xdr:rowOff>57150</xdr:rowOff>
    </xdr:to>
    <xdr:sp macro="" textlink="">
      <xdr:nvSpPr>
        <xdr:cNvPr id="127" name="Rectangle: Rounded Corners 126">
          <a:extLst>
            <a:ext uri="{FF2B5EF4-FFF2-40B4-BE49-F238E27FC236}">
              <a16:creationId xmlns:a16="http://schemas.microsoft.com/office/drawing/2014/main" id="{7FD77F5A-E1AB-3BDA-C9C5-9EE8DF10FB92}"/>
            </a:ext>
          </a:extLst>
        </xdr:cNvPr>
        <xdr:cNvSpPr/>
      </xdr:nvSpPr>
      <xdr:spPr>
        <a:xfrm>
          <a:off x="0" y="0"/>
          <a:ext cx="1841776" cy="148209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128" name="Group 127">
          <a:extLst>
            <a:ext uri="{FF2B5EF4-FFF2-40B4-BE49-F238E27FC236}">
              <a16:creationId xmlns:a16="http://schemas.microsoft.com/office/drawing/2014/main" id="{50FEFEB1-5741-D3BF-C50F-D31DEEF10ACD}"/>
            </a:ext>
          </a:extLst>
        </xdr:cNvPr>
        <xdr:cNvGrpSpPr/>
      </xdr:nvGrpSpPr>
      <xdr:grpSpPr>
        <a:xfrm>
          <a:off x="11239" y="652572"/>
          <a:ext cx="1704895" cy="451333"/>
          <a:chOff x="17891" y="510932"/>
          <a:chExt cx="1724265" cy="444500"/>
        </a:xfrm>
      </xdr:grpSpPr>
      <xdr:sp macro="" textlink="">
        <xdr:nvSpPr>
          <xdr:cNvPr id="257" name="Rectangle: Rounded Corners 256">
            <a:extLst>
              <a:ext uri="{FF2B5EF4-FFF2-40B4-BE49-F238E27FC236}">
                <a16:creationId xmlns:a16="http://schemas.microsoft.com/office/drawing/2014/main" id="{753841D9-2E14-3C93-0114-F721C6022E55}"/>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8" name="TextBox 257">
            <a:hlinkClick xmlns:r="http://schemas.openxmlformats.org/officeDocument/2006/relationships" r:id="rId1"/>
            <a:extLst>
              <a:ext uri="{FF2B5EF4-FFF2-40B4-BE49-F238E27FC236}">
                <a16:creationId xmlns:a16="http://schemas.microsoft.com/office/drawing/2014/main" id="{B751E64E-F6DE-1339-BDEA-7E439372A984}"/>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259" name="Oval 258">
            <a:extLst>
              <a:ext uri="{FF2B5EF4-FFF2-40B4-BE49-F238E27FC236}">
                <a16:creationId xmlns:a16="http://schemas.microsoft.com/office/drawing/2014/main" id="{06D48699-2336-D12A-1C22-676A15CCCC46}"/>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129" name="Graphic 128" descr="Home with solid fill">
          <a:hlinkClick xmlns:r="http://schemas.openxmlformats.org/officeDocument/2006/relationships" r:id="rId2"/>
          <a:extLst>
            <a:ext uri="{FF2B5EF4-FFF2-40B4-BE49-F238E27FC236}">
              <a16:creationId xmlns:a16="http://schemas.microsoft.com/office/drawing/2014/main" id="{FB5B01F9-DA79-22C4-02A4-BB9D1BEDDB0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69124</xdr:rowOff>
    </xdr:to>
    <xdr:grpSp>
      <xdr:nvGrpSpPr>
        <xdr:cNvPr id="130" name="Group 129">
          <a:extLst>
            <a:ext uri="{FF2B5EF4-FFF2-40B4-BE49-F238E27FC236}">
              <a16:creationId xmlns:a16="http://schemas.microsoft.com/office/drawing/2014/main" id="{BD44E2A5-F0FF-A575-D3C6-75A73857F77A}"/>
            </a:ext>
          </a:extLst>
        </xdr:cNvPr>
        <xdr:cNvGrpSpPr/>
      </xdr:nvGrpSpPr>
      <xdr:grpSpPr>
        <a:xfrm>
          <a:off x="10917" y="1127622"/>
          <a:ext cx="1704895" cy="446452"/>
          <a:chOff x="23753" y="989136"/>
          <a:chExt cx="1724265" cy="444500"/>
        </a:xfrm>
      </xdr:grpSpPr>
      <xdr:sp macro="" textlink="">
        <xdr:nvSpPr>
          <xdr:cNvPr id="254" name="Rectangle: Rounded Corners 253">
            <a:extLst>
              <a:ext uri="{FF2B5EF4-FFF2-40B4-BE49-F238E27FC236}">
                <a16:creationId xmlns:a16="http://schemas.microsoft.com/office/drawing/2014/main" id="{3060E0DF-B844-30FD-A2C0-8791698CD677}"/>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5" name="TextBox 254">
            <a:hlinkClick xmlns:r="http://schemas.openxmlformats.org/officeDocument/2006/relationships" r:id="rId5"/>
            <a:extLst>
              <a:ext uri="{FF2B5EF4-FFF2-40B4-BE49-F238E27FC236}">
                <a16:creationId xmlns:a16="http://schemas.microsoft.com/office/drawing/2014/main" id="{2EA8D3A5-17E9-F1BE-0E9B-F8C088B63500}"/>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256" name="Oval 255">
            <a:extLst>
              <a:ext uri="{FF2B5EF4-FFF2-40B4-BE49-F238E27FC236}">
                <a16:creationId xmlns:a16="http://schemas.microsoft.com/office/drawing/2014/main" id="{EFD9C3E2-8ACA-B517-7560-A2757A9CA07B}"/>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598989</xdr:rowOff>
    </xdr:from>
    <xdr:to>
      <xdr:col>0</xdr:col>
      <xdr:colOff>1717958</xdr:colOff>
      <xdr:row>5</xdr:row>
      <xdr:rowOff>310201</xdr:rowOff>
    </xdr:to>
    <xdr:grpSp>
      <xdr:nvGrpSpPr>
        <xdr:cNvPr id="131" name="Group 130">
          <a:extLst>
            <a:ext uri="{FF2B5EF4-FFF2-40B4-BE49-F238E27FC236}">
              <a16:creationId xmlns:a16="http://schemas.microsoft.com/office/drawing/2014/main" id="{190BD22F-2B51-0E00-20EE-9D1DD7B39A07}"/>
            </a:ext>
          </a:extLst>
        </xdr:cNvPr>
        <xdr:cNvGrpSpPr/>
      </xdr:nvGrpSpPr>
      <xdr:grpSpPr>
        <a:xfrm>
          <a:off x="13063" y="2103939"/>
          <a:ext cx="1704895" cy="447812"/>
          <a:chOff x="13593" y="1983238"/>
          <a:chExt cx="1722818" cy="443309"/>
        </a:xfrm>
      </xdr:grpSpPr>
      <xdr:sp macro="" textlink="">
        <xdr:nvSpPr>
          <xdr:cNvPr id="251" name="Rectangle: Rounded Corners 250">
            <a:extLst>
              <a:ext uri="{FF2B5EF4-FFF2-40B4-BE49-F238E27FC236}">
                <a16:creationId xmlns:a16="http://schemas.microsoft.com/office/drawing/2014/main" id="{42DD248F-77E2-5B9E-2BFF-1B67BC1F3ADE}"/>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52" name="TextBox 251">
            <a:hlinkClick xmlns:r="http://schemas.openxmlformats.org/officeDocument/2006/relationships" r:id="rId6"/>
            <a:extLst>
              <a:ext uri="{FF2B5EF4-FFF2-40B4-BE49-F238E27FC236}">
                <a16:creationId xmlns:a16="http://schemas.microsoft.com/office/drawing/2014/main" id="{D4B348AE-DCC6-97D4-1379-2AAE3B7BC91F}"/>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253" name="Oval 252">
            <a:extLst>
              <a:ext uri="{FF2B5EF4-FFF2-40B4-BE49-F238E27FC236}">
                <a16:creationId xmlns:a16="http://schemas.microsoft.com/office/drawing/2014/main" id="{ADC8F1C3-0F82-D43E-9AE3-38B7EFCFA5DD}"/>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331852</xdr:rowOff>
    </xdr:from>
    <xdr:to>
      <xdr:col>0</xdr:col>
      <xdr:colOff>1715516</xdr:colOff>
      <xdr:row>6</xdr:row>
      <xdr:rowOff>41227</xdr:rowOff>
    </xdr:to>
    <xdr:grpSp>
      <xdr:nvGrpSpPr>
        <xdr:cNvPr id="132" name="Group 131">
          <a:extLst>
            <a:ext uri="{FF2B5EF4-FFF2-40B4-BE49-F238E27FC236}">
              <a16:creationId xmlns:a16="http://schemas.microsoft.com/office/drawing/2014/main" id="{B6705727-5E33-B68B-3E86-4F082276195B}"/>
            </a:ext>
          </a:extLst>
        </xdr:cNvPr>
        <xdr:cNvGrpSpPr/>
      </xdr:nvGrpSpPr>
      <xdr:grpSpPr>
        <a:xfrm>
          <a:off x="12799" y="2573402"/>
          <a:ext cx="1702717" cy="445975"/>
          <a:chOff x="13317" y="2459028"/>
          <a:chExt cx="1720554" cy="441552"/>
        </a:xfrm>
      </xdr:grpSpPr>
      <xdr:sp macro="" textlink="">
        <xdr:nvSpPr>
          <xdr:cNvPr id="248" name="Rectangle: Rounded Corners 247">
            <a:extLst>
              <a:ext uri="{FF2B5EF4-FFF2-40B4-BE49-F238E27FC236}">
                <a16:creationId xmlns:a16="http://schemas.microsoft.com/office/drawing/2014/main" id="{A70178CC-EFEB-8454-EA96-4699E30120E5}"/>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9" name="TextBox 248">
            <a:hlinkClick xmlns:r="http://schemas.openxmlformats.org/officeDocument/2006/relationships" r:id="rId7"/>
            <a:extLst>
              <a:ext uri="{FF2B5EF4-FFF2-40B4-BE49-F238E27FC236}">
                <a16:creationId xmlns:a16="http://schemas.microsoft.com/office/drawing/2014/main" id="{76A7B648-E6AE-0968-830E-79FB28AB3C20}"/>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250" name="Oval 249">
            <a:extLst>
              <a:ext uri="{FF2B5EF4-FFF2-40B4-BE49-F238E27FC236}">
                <a16:creationId xmlns:a16="http://schemas.microsoft.com/office/drawing/2014/main" id="{707F1EBF-6374-734F-58BE-E57CE97ED802}"/>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55506</xdr:rowOff>
    </xdr:from>
    <xdr:to>
      <xdr:col>0</xdr:col>
      <xdr:colOff>1713076</xdr:colOff>
      <xdr:row>6</xdr:row>
      <xdr:rowOff>514352</xdr:rowOff>
    </xdr:to>
    <xdr:grpSp>
      <xdr:nvGrpSpPr>
        <xdr:cNvPr id="133" name="Group 132">
          <a:extLst>
            <a:ext uri="{FF2B5EF4-FFF2-40B4-BE49-F238E27FC236}">
              <a16:creationId xmlns:a16="http://schemas.microsoft.com/office/drawing/2014/main" id="{70B36F95-AED1-AA6F-5AE9-3BB25819BE35}"/>
            </a:ext>
          </a:extLst>
        </xdr:cNvPr>
        <xdr:cNvGrpSpPr/>
      </xdr:nvGrpSpPr>
      <xdr:grpSpPr>
        <a:xfrm>
          <a:off x="8181" y="3033656"/>
          <a:ext cx="1704895" cy="458846"/>
          <a:chOff x="8513" y="2976867"/>
          <a:chExt cx="1722818" cy="451725"/>
        </a:xfrm>
      </xdr:grpSpPr>
      <xdr:sp macro="" textlink="">
        <xdr:nvSpPr>
          <xdr:cNvPr id="244" name="Rectangle: Rounded Corners 243">
            <a:extLst>
              <a:ext uri="{FF2B5EF4-FFF2-40B4-BE49-F238E27FC236}">
                <a16:creationId xmlns:a16="http://schemas.microsoft.com/office/drawing/2014/main" id="{FA15EB83-1624-8F92-B304-A78202247F51}"/>
              </a:ext>
            </a:extLst>
          </xdr:cNvPr>
          <xdr:cNvSpPr/>
        </xdr:nvSpPr>
        <xdr:spPr>
          <a:xfrm>
            <a:off x="8513" y="2983010"/>
            <a:ext cx="1706703" cy="445403"/>
          </a:xfrm>
          <a:prstGeom prst="roundRect">
            <a:avLst>
              <a:gd name="adj" fmla="val 6708"/>
            </a:avLst>
          </a:prstGeom>
          <a:solidFill>
            <a:srgbClr val="0070C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5" name="TextBox 244">
            <a:hlinkClick xmlns:r="http://schemas.openxmlformats.org/officeDocument/2006/relationships" r:id="rId7"/>
            <a:extLst>
              <a:ext uri="{FF2B5EF4-FFF2-40B4-BE49-F238E27FC236}">
                <a16:creationId xmlns:a16="http://schemas.microsoft.com/office/drawing/2014/main" id="{88AF96F9-0D8F-CC92-295D-2DF4A23245D6}"/>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246" name="Oval 245">
            <a:extLst>
              <a:ext uri="{FF2B5EF4-FFF2-40B4-BE49-F238E27FC236}">
                <a16:creationId xmlns:a16="http://schemas.microsoft.com/office/drawing/2014/main" id="{E7F37F0D-62DB-4AEF-1040-F01D0601121B}"/>
              </a:ext>
            </a:extLst>
          </xdr:cNvPr>
          <xdr:cNvSpPr/>
        </xdr:nvSpPr>
        <xdr:spPr>
          <a:xfrm>
            <a:off x="102969" y="3059671"/>
            <a:ext cx="285750" cy="291289"/>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7" name="TextBox 246">
            <a:hlinkClick xmlns:r="http://schemas.openxmlformats.org/officeDocument/2006/relationships" r:id="rId8"/>
            <a:extLst>
              <a:ext uri="{FF2B5EF4-FFF2-40B4-BE49-F238E27FC236}">
                <a16:creationId xmlns:a16="http://schemas.microsoft.com/office/drawing/2014/main" id="{DB00BC95-BD4B-0E49-6ABA-A0B010775B67}"/>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bg1"/>
                </a:solidFill>
              </a:rPr>
              <a:t>Sewerage Services</a:t>
            </a:r>
          </a:p>
        </xdr:txBody>
      </xdr:sp>
    </xdr:grpSp>
    <xdr:clientData/>
  </xdr:twoCellAnchor>
  <xdr:twoCellAnchor>
    <xdr:from>
      <xdr:col>0</xdr:col>
      <xdr:colOff>11772</xdr:colOff>
      <xdr:row>4</xdr:row>
      <xdr:rowOff>91425</xdr:rowOff>
    </xdr:from>
    <xdr:to>
      <xdr:col>0</xdr:col>
      <xdr:colOff>1716667</xdr:colOff>
      <xdr:row>4</xdr:row>
      <xdr:rowOff>578364</xdr:rowOff>
    </xdr:to>
    <xdr:grpSp>
      <xdr:nvGrpSpPr>
        <xdr:cNvPr id="134" name="Group 133">
          <a:extLst>
            <a:ext uri="{FF2B5EF4-FFF2-40B4-BE49-F238E27FC236}">
              <a16:creationId xmlns:a16="http://schemas.microsoft.com/office/drawing/2014/main" id="{C0AA1AF4-FC10-E86D-DBBC-F96FD84880AF}"/>
            </a:ext>
          </a:extLst>
        </xdr:cNvPr>
        <xdr:cNvGrpSpPr/>
      </xdr:nvGrpSpPr>
      <xdr:grpSpPr>
        <a:xfrm>
          <a:off x="11772" y="1596375"/>
          <a:ext cx="1704895" cy="486939"/>
          <a:chOff x="21544" y="1467318"/>
          <a:chExt cx="1724265" cy="477164"/>
        </a:xfrm>
      </xdr:grpSpPr>
      <xdr:sp macro="" textlink="">
        <xdr:nvSpPr>
          <xdr:cNvPr id="241" name="Rectangle: Rounded Corners 240">
            <a:extLst>
              <a:ext uri="{FF2B5EF4-FFF2-40B4-BE49-F238E27FC236}">
                <a16:creationId xmlns:a16="http://schemas.microsoft.com/office/drawing/2014/main" id="{46CE1FAB-A545-4617-D415-524B51FAC23C}"/>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42" name="TextBox 241">
            <a:hlinkClick xmlns:r="http://schemas.openxmlformats.org/officeDocument/2006/relationships" r:id="rId9"/>
            <a:extLst>
              <a:ext uri="{FF2B5EF4-FFF2-40B4-BE49-F238E27FC236}">
                <a16:creationId xmlns:a16="http://schemas.microsoft.com/office/drawing/2014/main" id="{27964A02-AB4C-1807-8A7D-CAFFA2D43136}"/>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243" name="Oval 242">
            <a:extLst>
              <a:ext uri="{FF2B5EF4-FFF2-40B4-BE49-F238E27FC236}">
                <a16:creationId xmlns:a16="http://schemas.microsoft.com/office/drawing/2014/main" id="{4630CE72-C3E5-D01A-5EB8-5228B7A6A132}"/>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6</xdr:row>
      <xdr:rowOff>527536</xdr:rowOff>
    </xdr:from>
    <xdr:to>
      <xdr:col>0</xdr:col>
      <xdr:colOff>1713094</xdr:colOff>
      <xdr:row>7</xdr:row>
      <xdr:rowOff>274455</xdr:rowOff>
    </xdr:to>
    <xdr:grpSp>
      <xdr:nvGrpSpPr>
        <xdr:cNvPr id="135" name="Group 134">
          <a:extLst>
            <a:ext uri="{FF2B5EF4-FFF2-40B4-BE49-F238E27FC236}">
              <a16:creationId xmlns:a16="http://schemas.microsoft.com/office/drawing/2014/main" id="{DC51F6ED-6EEA-5393-49DD-7DFF5C073236}"/>
            </a:ext>
          </a:extLst>
        </xdr:cNvPr>
        <xdr:cNvGrpSpPr/>
      </xdr:nvGrpSpPr>
      <xdr:grpSpPr>
        <a:xfrm>
          <a:off x="8199" y="3505686"/>
          <a:ext cx="1704895" cy="483519"/>
          <a:chOff x="8532" y="3456662"/>
          <a:chExt cx="1722818" cy="482122"/>
        </a:xfrm>
      </xdr:grpSpPr>
      <xdr:sp macro="" textlink="">
        <xdr:nvSpPr>
          <xdr:cNvPr id="237" name="Rectangle: Rounded Corners 236">
            <a:extLst>
              <a:ext uri="{FF2B5EF4-FFF2-40B4-BE49-F238E27FC236}">
                <a16:creationId xmlns:a16="http://schemas.microsoft.com/office/drawing/2014/main" id="{AE2FA67B-1D0E-747C-6F53-A5DDA18FE635}"/>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8" name="TextBox 237">
            <a:hlinkClick xmlns:r="http://schemas.openxmlformats.org/officeDocument/2006/relationships" r:id="rId10"/>
            <a:extLst>
              <a:ext uri="{FF2B5EF4-FFF2-40B4-BE49-F238E27FC236}">
                <a16:creationId xmlns:a16="http://schemas.microsoft.com/office/drawing/2014/main" id="{A22848D2-7709-5C37-7E2A-A79C4734A1DE}"/>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239" name="Oval 238">
            <a:extLst>
              <a:ext uri="{FF2B5EF4-FFF2-40B4-BE49-F238E27FC236}">
                <a16:creationId xmlns:a16="http://schemas.microsoft.com/office/drawing/2014/main" id="{29D7A955-A07F-FE03-9771-F1EF9F3768F1}"/>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40" name="TextBox 239">
            <a:hlinkClick xmlns:r="http://schemas.openxmlformats.org/officeDocument/2006/relationships" r:id="rId10"/>
            <a:extLst>
              <a:ext uri="{FF2B5EF4-FFF2-40B4-BE49-F238E27FC236}">
                <a16:creationId xmlns:a16="http://schemas.microsoft.com/office/drawing/2014/main" id="{137C2776-0095-3EC7-125C-FF14E47B1838}"/>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7</xdr:row>
      <xdr:rowOff>287253</xdr:rowOff>
    </xdr:from>
    <xdr:to>
      <xdr:col>0</xdr:col>
      <xdr:colOff>1713246</xdr:colOff>
      <xdr:row>8</xdr:row>
      <xdr:rowOff>12460</xdr:rowOff>
    </xdr:to>
    <xdr:grpSp>
      <xdr:nvGrpSpPr>
        <xdr:cNvPr id="136" name="Group 135">
          <a:extLst>
            <a:ext uri="{FF2B5EF4-FFF2-40B4-BE49-F238E27FC236}">
              <a16:creationId xmlns:a16="http://schemas.microsoft.com/office/drawing/2014/main" id="{3B448164-CD6C-904A-4622-324E547B2D96}"/>
            </a:ext>
          </a:extLst>
        </xdr:cNvPr>
        <xdr:cNvGrpSpPr/>
      </xdr:nvGrpSpPr>
      <xdr:grpSpPr>
        <a:xfrm>
          <a:off x="6077" y="4002003"/>
          <a:ext cx="1707169" cy="461807"/>
          <a:chOff x="6323" y="3964228"/>
          <a:chExt cx="1725184" cy="454551"/>
        </a:xfrm>
      </xdr:grpSpPr>
      <xdr:sp macro="" textlink="">
        <xdr:nvSpPr>
          <xdr:cNvPr id="233" name="Rectangle: Rounded Corners 232">
            <a:extLst>
              <a:ext uri="{FF2B5EF4-FFF2-40B4-BE49-F238E27FC236}">
                <a16:creationId xmlns:a16="http://schemas.microsoft.com/office/drawing/2014/main" id="{7FD57382-2311-4799-D7F0-FFE39CE4507D}"/>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4" name="TextBox 233">
            <a:hlinkClick xmlns:r="http://schemas.openxmlformats.org/officeDocument/2006/relationships" r:id="rId11"/>
            <a:extLst>
              <a:ext uri="{FF2B5EF4-FFF2-40B4-BE49-F238E27FC236}">
                <a16:creationId xmlns:a16="http://schemas.microsoft.com/office/drawing/2014/main" id="{E7064B03-0D52-FA70-C299-616C7217429B}"/>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5" name="Oval 234">
            <a:extLst>
              <a:ext uri="{FF2B5EF4-FFF2-40B4-BE49-F238E27FC236}">
                <a16:creationId xmlns:a16="http://schemas.microsoft.com/office/drawing/2014/main" id="{E6F7F28D-2CE7-C55F-7534-641C7A5B0459}"/>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6" name="TextBox 235">
            <a:hlinkClick xmlns:r="http://schemas.openxmlformats.org/officeDocument/2006/relationships" r:id="rId11"/>
            <a:extLst>
              <a:ext uri="{FF2B5EF4-FFF2-40B4-BE49-F238E27FC236}">
                <a16:creationId xmlns:a16="http://schemas.microsoft.com/office/drawing/2014/main" id="{12D813A6-F5E2-38EE-99C2-90A5EA27549A}"/>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29690</xdr:rowOff>
    </xdr:from>
    <xdr:to>
      <xdr:col>0</xdr:col>
      <xdr:colOff>1709917</xdr:colOff>
      <xdr:row>8</xdr:row>
      <xdr:rowOff>524308</xdr:rowOff>
    </xdr:to>
    <xdr:grpSp>
      <xdr:nvGrpSpPr>
        <xdr:cNvPr id="137" name="Group 136">
          <a:extLst>
            <a:ext uri="{FF2B5EF4-FFF2-40B4-BE49-F238E27FC236}">
              <a16:creationId xmlns:a16="http://schemas.microsoft.com/office/drawing/2014/main" id="{3F66CDE7-500A-AAC8-8A10-DA5204290F0B}"/>
            </a:ext>
          </a:extLst>
        </xdr:cNvPr>
        <xdr:cNvGrpSpPr/>
      </xdr:nvGrpSpPr>
      <xdr:grpSpPr>
        <a:xfrm>
          <a:off x="2748" y="4481040"/>
          <a:ext cx="1707169" cy="494618"/>
          <a:chOff x="2860" y="4442071"/>
          <a:chExt cx="1725184" cy="485874"/>
        </a:xfrm>
      </xdr:grpSpPr>
      <xdr:sp macro="" textlink="">
        <xdr:nvSpPr>
          <xdr:cNvPr id="229" name="Rectangle: Rounded Corners 228">
            <a:extLst>
              <a:ext uri="{FF2B5EF4-FFF2-40B4-BE49-F238E27FC236}">
                <a16:creationId xmlns:a16="http://schemas.microsoft.com/office/drawing/2014/main" id="{C820FDEE-66D1-9130-8067-6781F6A855DB}"/>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0" name="TextBox 229">
            <a:hlinkClick xmlns:r="http://schemas.openxmlformats.org/officeDocument/2006/relationships" r:id="rId12"/>
            <a:extLst>
              <a:ext uri="{FF2B5EF4-FFF2-40B4-BE49-F238E27FC236}">
                <a16:creationId xmlns:a16="http://schemas.microsoft.com/office/drawing/2014/main" id="{CEC0FF7F-D3E2-E1FB-B7B2-2A4E5105AC90}"/>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31" name="Oval 230">
            <a:extLst>
              <a:ext uri="{FF2B5EF4-FFF2-40B4-BE49-F238E27FC236}">
                <a16:creationId xmlns:a16="http://schemas.microsoft.com/office/drawing/2014/main" id="{483C3297-0DF7-D4B8-CECE-BFE061F5338A}"/>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32" name="TextBox 231">
            <a:hlinkClick xmlns:r="http://schemas.openxmlformats.org/officeDocument/2006/relationships" r:id="rId12"/>
            <a:extLst>
              <a:ext uri="{FF2B5EF4-FFF2-40B4-BE49-F238E27FC236}">
                <a16:creationId xmlns:a16="http://schemas.microsoft.com/office/drawing/2014/main" id="{B458A513-03F2-938D-C62F-B0C2498B9F09}"/>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8</xdr:row>
      <xdr:rowOff>546647</xdr:rowOff>
    </xdr:from>
    <xdr:to>
      <xdr:col>0</xdr:col>
      <xdr:colOff>1709302</xdr:colOff>
      <xdr:row>9</xdr:row>
      <xdr:rowOff>266381</xdr:rowOff>
    </xdr:to>
    <xdr:grpSp>
      <xdr:nvGrpSpPr>
        <xdr:cNvPr id="138" name="Group 137">
          <a:extLst>
            <a:ext uri="{FF2B5EF4-FFF2-40B4-BE49-F238E27FC236}">
              <a16:creationId xmlns:a16="http://schemas.microsoft.com/office/drawing/2014/main" id="{1657E708-0BE4-C031-802F-82968ECC157F}"/>
            </a:ext>
          </a:extLst>
        </xdr:cNvPr>
        <xdr:cNvGrpSpPr/>
      </xdr:nvGrpSpPr>
      <xdr:grpSpPr>
        <a:xfrm>
          <a:off x="2133" y="4997997"/>
          <a:ext cx="1707169" cy="456334"/>
          <a:chOff x="2219" y="4949272"/>
          <a:chExt cx="1725184" cy="456170"/>
        </a:xfrm>
      </xdr:grpSpPr>
      <xdr:sp macro="" textlink="">
        <xdr:nvSpPr>
          <xdr:cNvPr id="225" name="Rectangle: Rounded Corners 224">
            <a:extLst>
              <a:ext uri="{FF2B5EF4-FFF2-40B4-BE49-F238E27FC236}">
                <a16:creationId xmlns:a16="http://schemas.microsoft.com/office/drawing/2014/main" id="{4858EB96-5C23-BA04-7A99-503241816D65}"/>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6" name="TextBox 225">
            <a:hlinkClick xmlns:r="http://schemas.openxmlformats.org/officeDocument/2006/relationships" r:id="rId13"/>
            <a:extLst>
              <a:ext uri="{FF2B5EF4-FFF2-40B4-BE49-F238E27FC236}">
                <a16:creationId xmlns:a16="http://schemas.microsoft.com/office/drawing/2014/main" id="{747DD0DF-6941-CC8B-612A-4C7E76FECECC}"/>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7" name="Oval 226">
            <a:extLst>
              <a:ext uri="{FF2B5EF4-FFF2-40B4-BE49-F238E27FC236}">
                <a16:creationId xmlns:a16="http://schemas.microsoft.com/office/drawing/2014/main" id="{6D51F704-2178-F288-9853-DF9DDFD9FBA9}"/>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8" name="TextBox 227">
            <a:hlinkClick xmlns:r="http://schemas.openxmlformats.org/officeDocument/2006/relationships" r:id="rId13"/>
            <a:extLst>
              <a:ext uri="{FF2B5EF4-FFF2-40B4-BE49-F238E27FC236}">
                <a16:creationId xmlns:a16="http://schemas.microsoft.com/office/drawing/2014/main" id="{75481626-ECD3-FA63-341A-8CBD309F2C26}"/>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9</xdr:row>
      <xdr:rowOff>285298</xdr:rowOff>
    </xdr:from>
    <xdr:to>
      <xdr:col>0</xdr:col>
      <xdr:colOff>1709298</xdr:colOff>
      <xdr:row>10</xdr:row>
      <xdr:rowOff>38044</xdr:rowOff>
    </xdr:to>
    <xdr:grpSp>
      <xdr:nvGrpSpPr>
        <xdr:cNvPr id="139" name="Group 138">
          <a:extLst>
            <a:ext uri="{FF2B5EF4-FFF2-40B4-BE49-F238E27FC236}">
              <a16:creationId xmlns:a16="http://schemas.microsoft.com/office/drawing/2014/main" id="{884669D6-E44F-F943-4484-EA8BCA65EF4D}"/>
            </a:ext>
          </a:extLst>
        </xdr:cNvPr>
        <xdr:cNvGrpSpPr/>
      </xdr:nvGrpSpPr>
      <xdr:grpSpPr>
        <a:xfrm>
          <a:off x="2129" y="5473248"/>
          <a:ext cx="1707169" cy="489346"/>
          <a:chOff x="2215" y="5434042"/>
          <a:chExt cx="1725184" cy="486597"/>
        </a:xfrm>
      </xdr:grpSpPr>
      <xdr:sp macro="" textlink="">
        <xdr:nvSpPr>
          <xdr:cNvPr id="221" name="Rectangle: Rounded Corners 220">
            <a:extLst>
              <a:ext uri="{FF2B5EF4-FFF2-40B4-BE49-F238E27FC236}">
                <a16:creationId xmlns:a16="http://schemas.microsoft.com/office/drawing/2014/main" id="{DCC02829-02E8-7EEA-D95C-03DD718BB73F}"/>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22" name="TextBox 221">
            <a:hlinkClick xmlns:r="http://schemas.openxmlformats.org/officeDocument/2006/relationships" r:id="rId14"/>
            <a:extLst>
              <a:ext uri="{FF2B5EF4-FFF2-40B4-BE49-F238E27FC236}">
                <a16:creationId xmlns:a16="http://schemas.microsoft.com/office/drawing/2014/main" id="{96C55FEC-FDFC-75C2-F1CB-D28B4A9D82FB}"/>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23" name="Oval 222">
            <a:extLst>
              <a:ext uri="{FF2B5EF4-FFF2-40B4-BE49-F238E27FC236}">
                <a16:creationId xmlns:a16="http://schemas.microsoft.com/office/drawing/2014/main" id="{C5F9C752-7BFC-BDB6-CAAE-23AC6BCF1500}"/>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4" name="TextBox 223">
            <a:hlinkClick xmlns:r="http://schemas.openxmlformats.org/officeDocument/2006/relationships" r:id="rId14"/>
            <a:extLst>
              <a:ext uri="{FF2B5EF4-FFF2-40B4-BE49-F238E27FC236}">
                <a16:creationId xmlns:a16="http://schemas.microsoft.com/office/drawing/2014/main" id="{2E0EBA61-6698-8387-60F2-4F02E7BBE1A6}"/>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10</xdr:row>
      <xdr:rowOff>55899</xdr:rowOff>
    </xdr:from>
    <xdr:to>
      <xdr:col>0</xdr:col>
      <xdr:colOff>1709296</xdr:colOff>
      <xdr:row>10</xdr:row>
      <xdr:rowOff>550517</xdr:rowOff>
    </xdr:to>
    <xdr:grpSp>
      <xdr:nvGrpSpPr>
        <xdr:cNvPr id="140" name="Group 139">
          <a:extLst>
            <a:ext uri="{FF2B5EF4-FFF2-40B4-BE49-F238E27FC236}">
              <a16:creationId xmlns:a16="http://schemas.microsoft.com/office/drawing/2014/main" id="{E1A67122-90FC-530A-783D-2291A73759B1}"/>
            </a:ext>
          </a:extLst>
        </xdr:cNvPr>
        <xdr:cNvGrpSpPr/>
      </xdr:nvGrpSpPr>
      <xdr:grpSpPr>
        <a:xfrm>
          <a:off x="2127" y="5980449"/>
          <a:ext cx="1707169" cy="494618"/>
          <a:chOff x="2213" y="5938772"/>
          <a:chExt cx="1725184" cy="485874"/>
        </a:xfrm>
      </xdr:grpSpPr>
      <xdr:sp macro="" textlink="">
        <xdr:nvSpPr>
          <xdr:cNvPr id="217" name="Rectangle: Rounded Corners 216">
            <a:extLst>
              <a:ext uri="{FF2B5EF4-FFF2-40B4-BE49-F238E27FC236}">
                <a16:creationId xmlns:a16="http://schemas.microsoft.com/office/drawing/2014/main" id="{095F861E-465C-9C26-D452-09CB884208D3}"/>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8" name="TextBox 217">
            <a:hlinkClick xmlns:r="http://schemas.openxmlformats.org/officeDocument/2006/relationships" r:id="rId15"/>
            <a:extLst>
              <a:ext uri="{FF2B5EF4-FFF2-40B4-BE49-F238E27FC236}">
                <a16:creationId xmlns:a16="http://schemas.microsoft.com/office/drawing/2014/main" id="{F25FA7B1-1024-63CC-0F7E-3065E1CAD754}"/>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9" name="Oval 218">
            <a:extLst>
              <a:ext uri="{FF2B5EF4-FFF2-40B4-BE49-F238E27FC236}">
                <a16:creationId xmlns:a16="http://schemas.microsoft.com/office/drawing/2014/main" id="{A30B9986-F986-91C5-A936-FC752DF32355}"/>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20" name="TextBox 219">
            <a:hlinkClick xmlns:r="http://schemas.openxmlformats.org/officeDocument/2006/relationships" r:id="rId15"/>
            <a:extLst>
              <a:ext uri="{FF2B5EF4-FFF2-40B4-BE49-F238E27FC236}">
                <a16:creationId xmlns:a16="http://schemas.microsoft.com/office/drawing/2014/main" id="{1D01FC16-4658-4A13-53DB-8FFE8A74DD30}"/>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10</xdr:row>
      <xdr:rowOff>570307</xdr:rowOff>
    </xdr:from>
    <xdr:to>
      <xdr:col>0</xdr:col>
      <xdr:colOff>1708011</xdr:colOff>
      <xdr:row>11</xdr:row>
      <xdr:rowOff>290831</xdr:rowOff>
    </xdr:to>
    <xdr:grpSp>
      <xdr:nvGrpSpPr>
        <xdr:cNvPr id="141" name="Group 140">
          <a:extLst>
            <a:ext uri="{FF2B5EF4-FFF2-40B4-BE49-F238E27FC236}">
              <a16:creationId xmlns:a16="http://schemas.microsoft.com/office/drawing/2014/main" id="{B3966EE7-7F4B-359A-C95C-4768A61B92FD}"/>
            </a:ext>
          </a:extLst>
        </xdr:cNvPr>
        <xdr:cNvGrpSpPr/>
      </xdr:nvGrpSpPr>
      <xdr:grpSpPr>
        <a:xfrm>
          <a:off x="842" y="6494857"/>
          <a:ext cx="1707169" cy="457124"/>
          <a:chOff x="876" y="6443539"/>
          <a:chExt cx="1725184" cy="456924"/>
        </a:xfrm>
      </xdr:grpSpPr>
      <xdr:sp macro="" textlink="">
        <xdr:nvSpPr>
          <xdr:cNvPr id="213" name="Rectangle: Rounded Corners 212">
            <a:extLst>
              <a:ext uri="{FF2B5EF4-FFF2-40B4-BE49-F238E27FC236}">
                <a16:creationId xmlns:a16="http://schemas.microsoft.com/office/drawing/2014/main" id="{4F822194-A71B-55A5-5709-4A57534BCC98}"/>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4" name="TextBox 213">
            <a:hlinkClick xmlns:r="http://schemas.openxmlformats.org/officeDocument/2006/relationships" r:id="rId16"/>
            <a:extLst>
              <a:ext uri="{FF2B5EF4-FFF2-40B4-BE49-F238E27FC236}">
                <a16:creationId xmlns:a16="http://schemas.microsoft.com/office/drawing/2014/main" id="{645132D5-FC5C-76D6-A0D3-82ACAF8EE3F8}"/>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5" name="Oval 214">
            <a:extLst>
              <a:ext uri="{FF2B5EF4-FFF2-40B4-BE49-F238E27FC236}">
                <a16:creationId xmlns:a16="http://schemas.microsoft.com/office/drawing/2014/main" id="{9C0FA744-92C4-8127-B29E-4914A4D870C0}"/>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6" name="TextBox 215">
            <a:hlinkClick xmlns:r="http://schemas.openxmlformats.org/officeDocument/2006/relationships" r:id="rId16"/>
            <a:extLst>
              <a:ext uri="{FF2B5EF4-FFF2-40B4-BE49-F238E27FC236}">
                <a16:creationId xmlns:a16="http://schemas.microsoft.com/office/drawing/2014/main" id="{F3F631A4-E8D3-E38E-B539-78B1381CF745}"/>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12</xdr:row>
      <xdr:rowOff>82193</xdr:rowOff>
    </xdr:from>
    <xdr:to>
      <xdr:col>0</xdr:col>
      <xdr:colOff>1708946</xdr:colOff>
      <xdr:row>12</xdr:row>
      <xdr:rowOff>547436</xdr:rowOff>
    </xdr:to>
    <xdr:grpSp>
      <xdr:nvGrpSpPr>
        <xdr:cNvPr id="142" name="Group 141">
          <a:extLst>
            <a:ext uri="{FF2B5EF4-FFF2-40B4-BE49-F238E27FC236}">
              <a16:creationId xmlns:a16="http://schemas.microsoft.com/office/drawing/2014/main" id="{0B2B4955-84E5-0229-0536-0776DDFBAC1D}"/>
            </a:ext>
          </a:extLst>
        </xdr:cNvPr>
        <xdr:cNvGrpSpPr/>
      </xdr:nvGrpSpPr>
      <xdr:grpSpPr>
        <a:xfrm>
          <a:off x="1777" y="7479943"/>
          <a:ext cx="1707169" cy="465243"/>
          <a:chOff x="1849" y="7421500"/>
          <a:chExt cx="1725184" cy="457832"/>
        </a:xfrm>
      </xdr:grpSpPr>
      <xdr:sp macro="" textlink="">
        <xdr:nvSpPr>
          <xdr:cNvPr id="209" name="Rectangle: Rounded Corners 208">
            <a:extLst>
              <a:ext uri="{FF2B5EF4-FFF2-40B4-BE49-F238E27FC236}">
                <a16:creationId xmlns:a16="http://schemas.microsoft.com/office/drawing/2014/main" id="{F7093827-4A77-F872-1782-864A26BE0B22}"/>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10" name="TextBox 209">
            <a:hlinkClick xmlns:r="http://schemas.openxmlformats.org/officeDocument/2006/relationships" r:id="rId17"/>
            <a:extLst>
              <a:ext uri="{FF2B5EF4-FFF2-40B4-BE49-F238E27FC236}">
                <a16:creationId xmlns:a16="http://schemas.microsoft.com/office/drawing/2014/main" id="{8EB6C15A-471F-751E-F75A-A85B5DF4C3FE}"/>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11" name="Oval 210">
            <a:extLst>
              <a:ext uri="{FF2B5EF4-FFF2-40B4-BE49-F238E27FC236}">
                <a16:creationId xmlns:a16="http://schemas.microsoft.com/office/drawing/2014/main" id="{8FED801E-8F5F-739A-5AA6-3E51C8EBF49A}"/>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12" name="TextBox 211">
            <a:hlinkClick xmlns:r="http://schemas.openxmlformats.org/officeDocument/2006/relationships" r:id="rId17"/>
            <a:extLst>
              <a:ext uri="{FF2B5EF4-FFF2-40B4-BE49-F238E27FC236}">
                <a16:creationId xmlns:a16="http://schemas.microsoft.com/office/drawing/2014/main" id="{8B31A423-BE63-CA34-554E-AC71CE133055}"/>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12</xdr:row>
      <xdr:rowOff>574984</xdr:rowOff>
    </xdr:from>
    <xdr:to>
      <xdr:col>0</xdr:col>
      <xdr:colOff>1710873</xdr:colOff>
      <xdr:row>13</xdr:row>
      <xdr:rowOff>326829</xdr:rowOff>
    </xdr:to>
    <xdr:grpSp>
      <xdr:nvGrpSpPr>
        <xdr:cNvPr id="143" name="Group 142">
          <a:extLst>
            <a:ext uri="{FF2B5EF4-FFF2-40B4-BE49-F238E27FC236}">
              <a16:creationId xmlns:a16="http://schemas.microsoft.com/office/drawing/2014/main" id="{9C4E0805-5EB1-9C23-D1B8-26CFDF3C4AC9}"/>
            </a:ext>
          </a:extLst>
        </xdr:cNvPr>
        <xdr:cNvGrpSpPr/>
      </xdr:nvGrpSpPr>
      <xdr:grpSpPr>
        <a:xfrm>
          <a:off x="3704" y="7972734"/>
          <a:ext cx="1707169" cy="488445"/>
          <a:chOff x="3854" y="7898602"/>
          <a:chExt cx="1725184" cy="486825"/>
        </a:xfrm>
      </xdr:grpSpPr>
      <xdr:sp macro="" textlink="">
        <xdr:nvSpPr>
          <xdr:cNvPr id="205" name="Rectangle: Rounded Corners 204">
            <a:extLst>
              <a:ext uri="{FF2B5EF4-FFF2-40B4-BE49-F238E27FC236}">
                <a16:creationId xmlns:a16="http://schemas.microsoft.com/office/drawing/2014/main" id="{BCE0CFED-44E1-7E03-F92D-89344DF896A1}"/>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6" name="TextBox 205">
            <a:hlinkClick xmlns:r="http://schemas.openxmlformats.org/officeDocument/2006/relationships" r:id="rId18"/>
            <a:extLst>
              <a:ext uri="{FF2B5EF4-FFF2-40B4-BE49-F238E27FC236}">
                <a16:creationId xmlns:a16="http://schemas.microsoft.com/office/drawing/2014/main" id="{F495CE03-71C2-162A-0890-5C1C18898FB0}"/>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7" name="Oval 206">
            <a:extLst>
              <a:ext uri="{FF2B5EF4-FFF2-40B4-BE49-F238E27FC236}">
                <a16:creationId xmlns:a16="http://schemas.microsoft.com/office/drawing/2014/main" id="{E843D77C-55D6-4F7D-49AB-6A1B99F00C59}"/>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8" name="TextBox 207">
            <a:hlinkClick xmlns:r="http://schemas.openxmlformats.org/officeDocument/2006/relationships" r:id="rId18"/>
            <a:extLst>
              <a:ext uri="{FF2B5EF4-FFF2-40B4-BE49-F238E27FC236}">
                <a16:creationId xmlns:a16="http://schemas.microsoft.com/office/drawing/2014/main" id="{DD861F26-5E26-70F9-D3EE-F86BA2D3525E}"/>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13</xdr:row>
      <xdr:rowOff>350935</xdr:rowOff>
    </xdr:from>
    <xdr:to>
      <xdr:col>0</xdr:col>
      <xdr:colOff>1712157</xdr:colOff>
      <xdr:row>14</xdr:row>
      <xdr:rowOff>77067</xdr:rowOff>
    </xdr:to>
    <xdr:grpSp>
      <xdr:nvGrpSpPr>
        <xdr:cNvPr id="144" name="Group 143">
          <a:extLst>
            <a:ext uri="{FF2B5EF4-FFF2-40B4-BE49-F238E27FC236}">
              <a16:creationId xmlns:a16="http://schemas.microsoft.com/office/drawing/2014/main" id="{69ABC26B-787A-FDFB-5949-2F79113C2BA9}"/>
            </a:ext>
          </a:extLst>
        </xdr:cNvPr>
        <xdr:cNvGrpSpPr/>
      </xdr:nvGrpSpPr>
      <xdr:grpSpPr>
        <a:xfrm>
          <a:off x="4988" y="8485285"/>
          <a:ext cx="1707169" cy="462732"/>
          <a:chOff x="5190" y="8408439"/>
          <a:chExt cx="1725184" cy="455434"/>
        </a:xfrm>
      </xdr:grpSpPr>
      <xdr:sp macro="" textlink="">
        <xdr:nvSpPr>
          <xdr:cNvPr id="201" name="Rectangle: Rounded Corners 200">
            <a:extLst>
              <a:ext uri="{FF2B5EF4-FFF2-40B4-BE49-F238E27FC236}">
                <a16:creationId xmlns:a16="http://schemas.microsoft.com/office/drawing/2014/main" id="{73A85BB5-38F9-8B8E-BBF4-9C1C40F4FFB2}"/>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2" name="TextBox 201">
            <a:hlinkClick xmlns:r="http://schemas.openxmlformats.org/officeDocument/2006/relationships" r:id="rId19"/>
            <a:extLst>
              <a:ext uri="{FF2B5EF4-FFF2-40B4-BE49-F238E27FC236}">
                <a16:creationId xmlns:a16="http://schemas.microsoft.com/office/drawing/2014/main" id="{6A9618CD-5146-6760-4238-0C987F535994}"/>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203" name="Oval 202">
            <a:extLst>
              <a:ext uri="{FF2B5EF4-FFF2-40B4-BE49-F238E27FC236}">
                <a16:creationId xmlns:a16="http://schemas.microsoft.com/office/drawing/2014/main" id="{19238728-7799-B232-B717-172483683D69}"/>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4" name="TextBox 203">
            <a:hlinkClick xmlns:r="http://schemas.openxmlformats.org/officeDocument/2006/relationships" r:id="rId19"/>
            <a:extLst>
              <a:ext uri="{FF2B5EF4-FFF2-40B4-BE49-F238E27FC236}">
                <a16:creationId xmlns:a16="http://schemas.microsoft.com/office/drawing/2014/main" id="{C30F2548-7182-64F7-D61D-EDC19E0BB2C9}"/>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14</xdr:row>
      <xdr:rowOff>89855</xdr:rowOff>
    </xdr:from>
    <xdr:to>
      <xdr:col>0</xdr:col>
      <xdr:colOff>1713207</xdr:colOff>
      <xdr:row>15</xdr:row>
      <xdr:rowOff>25282</xdr:rowOff>
    </xdr:to>
    <xdr:grpSp>
      <xdr:nvGrpSpPr>
        <xdr:cNvPr id="145" name="Group 144">
          <a:extLst>
            <a:ext uri="{FF2B5EF4-FFF2-40B4-BE49-F238E27FC236}">
              <a16:creationId xmlns:a16="http://schemas.microsoft.com/office/drawing/2014/main" id="{86655E23-1A95-90B5-EBBA-4F3416BD0882}"/>
            </a:ext>
          </a:extLst>
        </xdr:cNvPr>
        <xdr:cNvGrpSpPr/>
      </xdr:nvGrpSpPr>
      <xdr:grpSpPr>
        <a:xfrm>
          <a:off x="6038" y="8960805"/>
          <a:ext cx="1707169" cy="487877"/>
          <a:chOff x="6283" y="8882925"/>
          <a:chExt cx="1725184" cy="479438"/>
        </a:xfrm>
      </xdr:grpSpPr>
      <xdr:sp macro="" textlink="">
        <xdr:nvSpPr>
          <xdr:cNvPr id="197" name="Rectangle: Rounded Corners 196">
            <a:extLst>
              <a:ext uri="{FF2B5EF4-FFF2-40B4-BE49-F238E27FC236}">
                <a16:creationId xmlns:a16="http://schemas.microsoft.com/office/drawing/2014/main" id="{7C1C43D0-552F-3865-9CD3-85646710B8C6}"/>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8" name="TextBox 197">
            <a:hlinkClick xmlns:r="http://schemas.openxmlformats.org/officeDocument/2006/relationships" r:id="rId20"/>
            <a:extLst>
              <a:ext uri="{FF2B5EF4-FFF2-40B4-BE49-F238E27FC236}">
                <a16:creationId xmlns:a16="http://schemas.microsoft.com/office/drawing/2014/main" id="{63F9780C-74AF-9B67-B4DE-5447EC97E34C}"/>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9" name="Oval 198">
            <a:extLst>
              <a:ext uri="{FF2B5EF4-FFF2-40B4-BE49-F238E27FC236}">
                <a16:creationId xmlns:a16="http://schemas.microsoft.com/office/drawing/2014/main" id="{B947009B-3CA3-E221-10C4-78BE14F7F85E}"/>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0" name="TextBox 199">
            <a:hlinkClick xmlns:r="http://schemas.openxmlformats.org/officeDocument/2006/relationships" r:id="rId20"/>
            <a:extLst>
              <a:ext uri="{FF2B5EF4-FFF2-40B4-BE49-F238E27FC236}">
                <a16:creationId xmlns:a16="http://schemas.microsoft.com/office/drawing/2014/main" id="{E68FF904-C2D1-4307-C692-C431AB116A22}"/>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15</xdr:row>
      <xdr:rowOff>550490</xdr:rowOff>
    </xdr:from>
    <xdr:to>
      <xdr:col>0</xdr:col>
      <xdr:colOff>1711774</xdr:colOff>
      <xdr:row>16</xdr:row>
      <xdr:rowOff>464553</xdr:rowOff>
    </xdr:to>
    <xdr:grpSp>
      <xdr:nvGrpSpPr>
        <xdr:cNvPr id="146" name="Group 145">
          <a:extLst>
            <a:ext uri="{FF2B5EF4-FFF2-40B4-BE49-F238E27FC236}">
              <a16:creationId xmlns:a16="http://schemas.microsoft.com/office/drawing/2014/main" id="{001EEA24-E813-B7B9-4A87-3C92EDA19DFF}"/>
            </a:ext>
          </a:extLst>
        </xdr:cNvPr>
        <xdr:cNvGrpSpPr/>
      </xdr:nvGrpSpPr>
      <xdr:grpSpPr>
        <a:xfrm>
          <a:off x="4605" y="9973890"/>
          <a:ext cx="1707169" cy="466513"/>
          <a:chOff x="4792" y="9884285"/>
          <a:chExt cx="1725184" cy="459044"/>
        </a:xfrm>
      </xdr:grpSpPr>
      <xdr:sp macro="" textlink="">
        <xdr:nvSpPr>
          <xdr:cNvPr id="193" name="Rectangle: Rounded Corners 192">
            <a:extLst>
              <a:ext uri="{FF2B5EF4-FFF2-40B4-BE49-F238E27FC236}">
                <a16:creationId xmlns:a16="http://schemas.microsoft.com/office/drawing/2014/main" id="{6812D0DB-A1E2-33BF-A3F8-917BD5F0042A}"/>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4" name="TextBox 193">
            <a:hlinkClick xmlns:r="http://schemas.openxmlformats.org/officeDocument/2006/relationships" r:id="rId21"/>
            <a:extLst>
              <a:ext uri="{FF2B5EF4-FFF2-40B4-BE49-F238E27FC236}">
                <a16:creationId xmlns:a16="http://schemas.microsoft.com/office/drawing/2014/main" id="{33A8D258-C5BA-3207-498B-15F29D87214C}"/>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5" name="Oval 194">
            <a:extLst>
              <a:ext uri="{FF2B5EF4-FFF2-40B4-BE49-F238E27FC236}">
                <a16:creationId xmlns:a16="http://schemas.microsoft.com/office/drawing/2014/main" id="{14E7DC49-1AE4-8868-7D28-DCDCD213DB63}"/>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6" name="TextBox 195">
            <a:hlinkClick xmlns:r="http://schemas.openxmlformats.org/officeDocument/2006/relationships" r:id="rId21"/>
            <a:extLst>
              <a:ext uri="{FF2B5EF4-FFF2-40B4-BE49-F238E27FC236}">
                <a16:creationId xmlns:a16="http://schemas.microsoft.com/office/drawing/2014/main" id="{4EA0991B-0DC2-FB9A-9ED7-54C6E4829450}"/>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15</xdr:row>
      <xdr:rowOff>43265</xdr:rowOff>
    </xdr:from>
    <xdr:to>
      <xdr:col>0</xdr:col>
      <xdr:colOff>1712537</xdr:colOff>
      <xdr:row>15</xdr:row>
      <xdr:rowOff>526211</xdr:rowOff>
    </xdr:to>
    <xdr:grpSp>
      <xdr:nvGrpSpPr>
        <xdr:cNvPr id="147" name="Group 146">
          <a:extLst>
            <a:ext uri="{FF2B5EF4-FFF2-40B4-BE49-F238E27FC236}">
              <a16:creationId xmlns:a16="http://schemas.microsoft.com/office/drawing/2014/main" id="{81ADA584-9532-6680-6416-7CACD937A3F3}"/>
            </a:ext>
          </a:extLst>
        </xdr:cNvPr>
        <xdr:cNvGrpSpPr/>
      </xdr:nvGrpSpPr>
      <xdr:grpSpPr>
        <a:xfrm>
          <a:off x="5368" y="9466665"/>
          <a:ext cx="1707169" cy="482946"/>
          <a:chOff x="5586" y="9379532"/>
          <a:chExt cx="1725184" cy="481576"/>
        </a:xfrm>
      </xdr:grpSpPr>
      <xdr:sp macro="" textlink="">
        <xdr:nvSpPr>
          <xdr:cNvPr id="189" name="Rectangle: Rounded Corners 188">
            <a:extLst>
              <a:ext uri="{FF2B5EF4-FFF2-40B4-BE49-F238E27FC236}">
                <a16:creationId xmlns:a16="http://schemas.microsoft.com/office/drawing/2014/main" id="{519E3F1A-9966-2D86-1486-D63B516EACC3}"/>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0" name="TextBox 189">
            <a:hlinkClick xmlns:r="http://schemas.openxmlformats.org/officeDocument/2006/relationships" r:id="rId22"/>
            <a:extLst>
              <a:ext uri="{FF2B5EF4-FFF2-40B4-BE49-F238E27FC236}">
                <a16:creationId xmlns:a16="http://schemas.microsoft.com/office/drawing/2014/main" id="{AE2DF542-CCCF-65D2-30B4-76B97506A870}"/>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91" name="Oval 190">
            <a:extLst>
              <a:ext uri="{FF2B5EF4-FFF2-40B4-BE49-F238E27FC236}">
                <a16:creationId xmlns:a16="http://schemas.microsoft.com/office/drawing/2014/main" id="{0736733E-B0D8-1537-0CBA-016EE5687E21}"/>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2" name="TextBox 191">
            <a:hlinkClick xmlns:r="http://schemas.openxmlformats.org/officeDocument/2006/relationships" r:id="rId22"/>
            <a:extLst>
              <a:ext uri="{FF2B5EF4-FFF2-40B4-BE49-F238E27FC236}">
                <a16:creationId xmlns:a16="http://schemas.microsoft.com/office/drawing/2014/main" id="{D4EE6CEC-D5CE-E421-804E-4F3BF846BD14}"/>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16</xdr:row>
      <xdr:rowOff>472952</xdr:rowOff>
    </xdr:from>
    <xdr:to>
      <xdr:col>0</xdr:col>
      <xdr:colOff>1711005</xdr:colOff>
      <xdr:row>17</xdr:row>
      <xdr:rowOff>415749</xdr:rowOff>
    </xdr:to>
    <xdr:grpSp>
      <xdr:nvGrpSpPr>
        <xdr:cNvPr id="148" name="Group 147">
          <a:extLst>
            <a:ext uri="{FF2B5EF4-FFF2-40B4-BE49-F238E27FC236}">
              <a16:creationId xmlns:a16="http://schemas.microsoft.com/office/drawing/2014/main" id="{191DFF5D-3893-A1E9-B5B4-2682D6118719}"/>
            </a:ext>
          </a:extLst>
        </xdr:cNvPr>
        <xdr:cNvGrpSpPr/>
      </xdr:nvGrpSpPr>
      <xdr:grpSpPr>
        <a:xfrm>
          <a:off x="3836" y="10448802"/>
          <a:ext cx="1707169" cy="495247"/>
          <a:chOff x="3992" y="10358190"/>
          <a:chExt cx="1725184" cy="486476"/>
        </a:xfrm>
      </xdr:grpSpPr>
      <xdr:sp macro="" textlink="">
        <xdr:nvSpPr>
          <xdr:cNvPr id="185" name="Rectangle: Rounded Corners 184">
            <a:extLst>
              <a:ext uri="{FF2B5EF4-FFF2-40B4-BE49-F238E27FC236}">
                <a16:creationId xmlns:a16="http://schemas.microsoft.com/office/drawing/2014/main" id="{1A59AC55-40BF-7DF6-4363-79A6ED3A7673}"/>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6" name="TextBox 185">
            <a:hlinkClick xmlns:r="http://schemas.openxmlformats.org/officeDocument/2006/relationships" r:id="rId23"/>
            <a:extLst>
              <a:ext uri="{FF2B5EF4-FFF2-40B4-BE49-F238E27FC236}">
                <a16:creationId xmlns:a16="http://schemas.microsoft.com/office/drawing/2014/main" id="{0A394E69-D85F-8C93-37C4-6825AA98072D}"/>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87" name="Oval 186">
            <a:extLst>
              <a:ext uri="{FF2B5EF4-FFF2-40B4-BE49-F238E27FC236}">
                <a16:creationId xmlns:a16="http://schemas.microsoft.com/office/drawing/2014/main" id="{786086DF-7321-9718-4B2E-1389574353E7}"/>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8" name="TextBox 187">
            <a:hlinkClick xmlns:r="http://schemas.openxmlformats.org/officeDocument/2006/relationships" r:id="rId23"/>
            <a:extLst>
              <a:ext uri="{FF2B5EF4-FFF2-40B4-BE49-F238E27FC236}">
                <a16:creationId xmlns:a16="http://schemas.microsoft.com/office/drawing/2014/main" id="{3C8C71D4-D085-9596-566B-B410B660E4A2}"/>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17</xdr:row>
      <xdr:rowOff>433066</xdr:rowOff>
    </xdr:from>
    <xdr:to>
      <xdr:col>0</xdr:col>
      <xdr:colOff>1712668</xdr:colOff>
      <xdr:row>18</xdr:row>
      <xdr:rowOff>336194</xdr:rowOff>
    </xdr:to>
    <xdr:grpSp>
      <xdr:nvGrpSpPr>
        <xdr:cNvPr id="150" name="Group 149">
          <a:extLst>
            <a:ext uri="{FF2B5EF4-FFF2-40B4-BE49-F238E27FC236}">
              <a16:creationId xmlns:a16="http://schemas.microsoft.com/office/drawing/2014/main" id="{B287F35E-45E9-DE02-09F2-F2641E629208}"/>
            </a:ext>
          </a:extLst>
        </xdr:cNvPr>
        <xdr:cNvGrpSpPr/>
      </xdr:nvGrpSpPr>
      <xdr:grpSpPr>
        <a:xfrm>
          <a:off x="5499" y="10961366"/>
          <a:ext cx="1707169" cy="455578"/>
          <a:chOff x="5723" y="10874564"/>
          <a:chExt cx="1725184" cy="455447"/>
        </a:xfrm>
      </xdr:grpSpPr>
      <xdr:sp macro="" textlink="">
        <xdr:nvSpPr>
          <xdr:cNvPr id="177" name="Rectangle: Rounded Corners 176">
            <a:extLst>
              <a:ext uri="{FF2B5EF4-FFF2-40B4-BE49-F238E27FC236}">
                <a16:creationId xmlns:a16="http://schemas.microsoft.com/office/drawing/2014/main" id="{8F0878FB-2C4E-DED9-4BE5-7C182CF43E39}"/>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24"/>
            <a:extLst>
              <a:ext uri="{FF2B5EF4-FFF2-40B4-BE49-F238E27FC236}">
                <a16:creationId xmlns:a16="http://schemas.microsoft.com/office/drawing/2014/main" id="{5552234B-F333-2510-130D-11D4DE4475A8}"/>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9" name="Oval 178">
            <a:extLst>
              <a:ext uri="{FF2B5EF4-FFF2-40B4-BE49-F238E27FC236}">
                <a16:creationId xmlns:a16="http://schemas.microsoft.com/office/drawing/2014/main" id="{18DF8A8C-3521-27A5-1384-313F039DC550}"/>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24"/>
            <a:extLst>
              <a:ext uri="{FF2B5EF4-FFF2-40B4-BE49-F238E27FC236}">
                <a16:creationId xmlns:a16="http://schemas.microsoft.com/office/drawing/2014/main" id="{941018BA-3B79-FF3A-07E5-36DF847F1B15}"/>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18</xdr:row>
      <xdr:rowOff>355032</xdr:rowOff>
    </xdr:from>
    <xdr:to>
      <xdr:col>0</xdr:col>
      <xdr:colOff>1711471</xdr:colOff>
      <xdr:row>19</xdr:row>
      <xdr:rowOff>106909</xdr:rowOff>
    </xdr:to>
    <xdr:grpSp>
      <xdr:nvGrpSpPr>
        <xdr:cNvPr id="151" name="Group 150">
          <a:extLst>
            <a:ext uri="{FF2B5EF4-FFF2-40B4-BE49-F238E27FC236}">
              <a16:creationId xmlns:a16="http://schemas.microsoft.com/office/drawing/2014/main" id="{AECDB612-6D72-3B18-5A8B-27FEBEDB507A}"/>
            </a:ext>
          </a:extLst>
        </xdr:cNvPr>
        <xdr:cNvGrpSpPr/>
      </xdr:nvGrpSpPr>
      <xdr:grpSpPr>
        <a:xfrm>
          <a:off x="4302" y="11435782"/>
          <a:ext cx="1707169" cy="488477"/>
          <a:chOff x="4477" y="11347997"/>
          <a:chExt cx="1725184" cy="480012"/>
        </a:xfrm>
      </xdr:grpSpPr>
      <xdr:sp macro="" textlink="">
        <xdr:nvSpPr>
          <xdr:cNvPr id="173" name="Rectangle: Rounded Corners 172">
            <a:extLst>
              <a:ext uri="{FF2B5EF4-FFF2-40B4-BE49-F238E27FC236}">
                <a16:creationId xmlns:a16="http://schemas.microsoft.com/office/drawing/2014/main" id="{6F7514EB-2362-A12C-3A8F-EF4EFCA5B6FF}"/>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25"/>
            <a:extLst>
              <a:ext uri="{FF2B5EF4-FFF2-40B4-BE49-F238E27FC236}">
                <a16:creationId xmlns:a16="http://schemas.microsoft.com/office/drawing/2014/main" id="{68014F8E-33EE-9A4D-1FDF-58064C0EE357}"/>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5" name="Oval 174">
            <a:extLst>
              <a:ext uri="{FF2B5EF4-FFF2-40B4-BE49-F238E27FC236}">
                <a16:creationId xmlns:a16="http://schemas.microsoft.com/office/drawing/2014/main" id="{5BD4C0BA-6241-14FB-CE60-B70031463105}"/>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25"/>
            <a:extLst>
              <a:ext uri="{FF2B5EF4-FFF2-40B4-BE49-F238E27FC236}">
                <a16:creationId xmlns:a16="http://schemas.microsoft.com/office/drawing/2014/main" id="{8FDAF709-40F8-8FFB-6989-D076CF44FC0E}"/>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11</xdr:row>
      <xdr:rowOff>309897</xdr:rowOff>
    </xdr:from>
    <xdr:to>
      <xdr:col>0</xdr:col>
      <xdr:colOff>1707169</xdr:colOff>
      <xdr:row>12</xdr:row>
      <xdr:rowOff>58716</xdr:rowOff>
    </xdr:to>
    <xdr:grpSp>
      <xdr:nvGrpSpPr>
        <xdr:cNvPr id="152" name="Group 151">
          <a:extLst>
            <a:ext uri="{FF2B5EF4-FFF2-40B4-BE49-F238E27FC236}">
              <a16:creationId xmlns:a16="http://schemas.microsoft.com/office/drawing/2014/main" id="{148E2FC8-A6B0-908D-F278-D88B927C7197}"/>
            </a:ext>
          </a:extLst>
        </xdr:cNvPr>
        <xdr:cNvGrpSpPr/>
      </xdr:nvGrpSpPr>
      <xdr:grpSpPr>
        <a:xfrm>
          <a:off x="0" y="6971047"/>
          <a:ext cx="1707169" cy="485419"/>
          <a:chOff x="0" y="6922179"/>
          <a:chExt cx="1725184" cy="482848"/>
        </a:xfrm>
      </xdr:grpSpPr>
      <xdr:sp macro="" textlink="">
        <xdr:nvSpPr>
          <xdr:cNvPr id="169" name="Rectangle: Rounded Corners 168">
            <a:extLst>
              <a:ext uri="{FF2B5EF4-FFF2-40B4-BE49-F238E27FC236}">
                <a16:creationId xmlns:a16="http://schemas.microsoft.com/office/drawing/2014/main" id="{799937C8-5E2D-7D56-3E1D-A64A7FA5336B}"/>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16"/>
            <a:extLst>
              <a:ext uri="{FF2B5EF4-FFF2-40B4-BE49-F238E27FC236}">
                <a16:creationId xmlns:a16="http://schemas.microsoft.com/office/drawing/2014/main" id="{16F3044E-FF00-AEE6-57EC-698664F90C4D}"/>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71" name="Oval 170">
            <a:extLst>
              <a:ext uri="{FF2B5EF4-FFF2-40B4-BE49-F238E27FC236}">
                <a16:creationId xmlns:a16="http://schemas.microsoft.com/office/drawing/2014/main" id="{5A16AA80-E1E5-CB1D-1406-36612D42B7B0}"/>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26"/>
            <a:extLst>
              <a:ext uri="{FF2B5EF4-FFF2-40B4-BE49-F238E27FC236}">
                <a16:creationId xmlns:a16="http://schemas.microsoft.com/office/drawing/2014/main" id="{E975F220-A6A8-115F-A9DF-7428AACA7F81}"/>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19</xdr:row>
      <xdr:rowOff>119454</xdr:rowOff>
    </xdr:from>
    <xdr:to>
      <xdr:col>0</xdr:col>
      <xdr:colOff>1711953</xdr:colOff>
      <xdr:row>19</xdr:row>
      <xdr:rowOff>607931</xdr:rowOff>
    </xdr:to>
    <xdr:grpSp>
      <xdr:nvGrpSpPr>
        <xdr:cNvPr id="155" name="Group 154">
          <a:extLst>
            <a:ext uri="{FF2B5EF4-FFF2-40B4-BE49-F238E27FC236}">
              <a16:creationId xmlns:a16="http://schemas.microsoft.com/office/drawing/2014/main" id="{8A5A616C-C611-E711-C709-7C6DCFA9481F}"/>
            </a:ext>
          </a:extLst>
        </xdr:cNvPr>
        <xdr:cNvGrpSpPr/>
      </xdr:nvGrpSpPr>
      <xdr:grpSpPr>
        <a:xfrm>
          <a:off x="5742" y="11936804"/>
          <a:ext cx="1706211" cy="488477"/>
          <a:chOff x="4477" y="11347997"/>
          <a:chExt cx="1725184" cy="480012"/>
        </a:xfrm>
      </xdr:grpSpPr>
      <xdr:sp macro="" textlink="">
        <xdr:nvSpPr>
          <xdr:cNvPr id="161" name="Rectangle: Rounded Corners 160">
            <a:extLst>
              <a:ext uri="{FF2B5EF4-FFF2-40B4-BE49-F238E27FC236}">
                <a16:creationId xmlns:a16="http://schemas.microsoft.com/office/drawing/2014/main" id="{1EA97B66-135A-9C3E-562C-24DED9D99AEC}"/>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2" name="TextBox 161">
            <a:hlinkClick xmlns:r="http://schemas.openxmlformats.org/officeDocument/2006/relationships" r:id="rId27"/>
            <a:extLst>
              <a:ext uri="{FF2B5EF4-FFF2-40B4-BE49-F238E27FC236}">
                <a16:creationId xmlns:a16="http://schemas.microsoft.com/office/drawing/2014/main" id="{04010F50-E854-C856-7933-02697B5DAEAB}"/>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63" name="Oval 162">
            <a:extLst>
              <a:ext uri="{FF2B5EF4-FFF2-40B4-BE49-F238E27FC236}">
                <a16:creationId xmlns:a16="http://schemas.microsoft.com/office/drawing/2014/main" id="{6A52E9C5-2972-A9E3-9851-D9EEF313A0BB}"/>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64" name="TextBox 163">
            <a:hlinkClick xmlns:r="http://schemas.openxmlformats.org/officeDocument/2006/relationships" r:id="rId27"/>
            <a:extLst>
              <a:ext uri="{FF2B5EF4-FFF2-40B4-BE49-F238E27FC236}">
                <a16:creationId xmlns:a16="http://schemas.microsoft.com/office/drawing/2014/main" id="{3D926708-748B-F8B7-B174-146F33143E8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27" name="Group 26">
          <a:extLst>
            <a:ext uri="{FF2B5EF4-FFF2-40B4-BE49-F238E27FC236}">
              <a16:creationId xmlns:a16="http://schemas.microsoft.com/office/drawing/2014/main" id="{C917C9F6-FE35-48DD-9440-2F71759533C1}"/>
            </a:ext>
          </a:extLst>
        </xdr:cNvPr>
        <xdr:cNvGrpSpPr/>
      </xdr:nvGrpSpPr>
      <xdr:grpSpPr>
        <a:xfrm>
          <a:off x="9505950" y="0"/>
          <a:ext cx="774288" cy="286106"/>
          <a:chOff x="7108587" y="129950"/>
          <a:chExt cx="884099" cy="287016"/>
        </a:xfrm>
      </xdr:grpSpPr>
      <xdr:pic>
        <xdr:nvPicPr>
          <xdr:cNvPr id="28" name="Graphic 27" descr="Rewind with solid fill">
            <a:hlinkClick xmlns:r="http://schemas.openxmlformats.org/officeDocument/2006/relationships" r:id="rId28"/>
            <a:extLst>
              <a:ext uri="{FF2B5EF4-FFF2-40B4-BE49-F238E27FC236}">
                <a16:creationId xmlns:a16="http://schemas.microsoft.com/office/drawing/2014/main" id="{E4BCBCA2-469A-B854-A78D-903EDC86403F}"/>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29" name="TextBox 28">
            <a:hlinkClick xmlns:r="http://schemas.openxmlformats.org/officeDocument/2006/relationships" r:id="rId28"/>
            <a:extLst>
              <a:ext uri="{FF2B5EF4-FFF2-40B4-BE49-F238E27FC236}">
                <a16:creationId xmlns:a16="http://schemas.microsoft.com/office/drawing/2014/main" id="{A54BB555-8CE1-2BDB-F2A2-ABB2EFF5A6DD}"/>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19</xdr:row>
      <xdr:rowOff>635000</xdr:rowOff>
    </xdr:from>
    <xdr:to>
      <xdr:col>0</xdr:col>
      <xdr:colOff>1713549</xdr:colOff>
      <xdr:row>28</xdr:row>
      <xdr:rowOff>105784</xdr:rowOff>
    </xdr:to>
    <xdr:grpSp>
      <xdr:nvGrpSpPr>
        <xdr:cNvPr id="30" name="Group 29">
          <a:extLst>
            <a:ext uri="{FF2B5EF4-FFF2-40B4-BE49-F238E27FC236}">
              <a16:creationId xmlns:a16="http://schemas.microsoft.com/office/drawing/2014/main" id="{BD7D4AC9-ECFB-4E5D-8A62-16EAA970A719}"/>
            </a:ext>
          </a:extLst>
        </xdr:cNvPr>
        <xdr:cNvGrpSpPr/>
      </xdr:nvGrpSpPr>
      <xdr:grpSpPr>
        <a:xfrm>
          <a:off x="0" y="12452350"/>
          <a:ext cx="1713549" cy="2233034"/>
          <a:chOff x="5137727" y="13144500"/>
          <a:chExt cx="1713549" cy="2252946"/>
        </a:xfrm>
      </xdr:grpSpPr>
      <xdr:grpSp>
        <xdr:nvGrpSpPr>
          <xdr:cNvPr id="31" name="Group 30">
            <a:extLst>
              <a:ext uri="{FF2B5EF4-FFF2-40B4-BE49-F238E27FC236}">
                <a16:creationId xmlns:a16="http://schemas.microsoft.com/office/drawing/2014/main" id="{645B67A4-71BA-D36F-E91F-C3AF3D797522}"/>
              </a:ext>
            </a:extLst>
          </xdr:cNvPr>
          <xdr:cNvGrpSpPr/>
        </xdr:nvGrpSpPr>
        <xdr:grpSpPr>
          <a:xfrm>
            <a:off x="5144107" y="13624532"/>
            <a:ext cx="1707169" cy="465099"/>
            <a:chOff x="3415" y="11846315"/>
            <a:chExt cx="1725184" cy="456487"/>
          </a:xfrm>
        </xdr:grpSpPr>
        <xdr:sp macro="" textlink="">
          <xdr:nvSpPr>
            <xdr:cNvPr id="48" name="Rectangle: Rounded Corners 47">
              <a:extLst>
                <a:ext uri="{FF2B5EF4-FFF2-40B4-BE49-F238E27FC236}">
                  <a16:creationId xmlns:a16="http://schemas.microsoft.com/office/drawing/2014/main" id="{973DA5E4-BB9F-1021-DD33-DA259358328B}"/>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3"/>
              <a:extLst>
                <a:ext uri="{FF2B5EF4-FFF2-40B4-BE49-F238E27FC236}">
                  <a16:creationId xmlns:a16="http://schemas.microsoft.com/office/drawing/2014/main" id="{49AC05A6-43C5-C982-7A34-B63BDD8617FD}"/>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50" name="Oval 49">
              <a:extLst>
                <a:ext uri="{FF2B5EF4-FFF2-40B4-BE49-F238E27FC236}">
                  <a16:creationId xmlns:a16="http://schemas.microsoft.com/office/drawing/2014/main" id="{BDEF2AC8-AC50-1EAE-82EA-6E8CF934DDA3}"/>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31"/>
              <a:extLst>
                <a:ext uri="{FF2B5EF4-FFF2-40B4-BE49-F238E27FC236}">
                  <a16:creationId xmlns:a16="http://schemas.microsoft.com/office/drawing/2014/main" id="{E83EE518-5727-D0E9-85C7-A51661B0718E}"/>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32" name="Group 31">
            <a:extLst>
              <a:ext uri="{FF2B5EF4-FFF2-40B4-BE49-F238E27FC236}">
                <a16:creationId xmlns:a16="http://schemas.microsoft.com/office/drawing/2014/main" id="{CB86622C-79DC-126F-55C0-F589387120A4}"/>
              </a:ext>
            </a:extLst>
          </xdr:cNvPr>
          <xdr:cNvGrpSpPr/>
        </xdr:nvGrpSpPr>
        <xdr:grpSpPr>
          <a:xfrm>
            <a:off x="5141639" y="14111307"/>
            <a:ext cx="1707169" cy="494728"/>
            <a:chOff x="847" y="12324893"/>
            <a:chExt cx="1725184" cy="486884"/>
          </a:xfrm>
        </xdr:grpSpPr>
        <xdr:sp macro="" textlink="">
          <xdr:nvSpPr>
            <xdr:cNvPr id="44" name="Rectangle: Rounded Corners 43">
              <a:extLst>
                <a:ext uri="{FF2B5EF4-FFF2-40B4-BE49-F238E27FC236}">
                  <a16:creationId xmlns:a16="http://schemas.microsoft.com/office/drawing/2014/main" id="{7864A4EA-B260-BC09-CFE0-A41E675033F2}"/>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5" name="TextBox 44">
              <a:hlinkClick xmlns:r="http://schemas.openxmlformats.org/officeDocument/2006/relationships" r:id="rId32"/>
              <a:extLst>
                <a:ext uri="{FF2B5EF4-FFF2-40B4-BE49-F238E27FC236}">
                  <a16:creationId xmlns:a16="http://schemas.microsoft.com/office/drawing/2014/main" id="{E163A08D-C808-F535-BE97-13C8FDEFB29F}"/>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6" name="Oval 45">
              <a:extLst>
                <a:ext uri="{FF2B5EF4-FFF2-40B4-BE49-F238E27FC236}">
                  <a16:creationId xmlns:a16="http://schemas.microsoft.com/office/drawing/2014/main" id="{95D6B9E6-7378-F7FA-50A0-1026A19E5CB9}"/>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32"/>
              <a:extLst>
                <a:ext uri="{FF2B5EF4-FFF2-40B4-BE49-F238E27FC236}">
                  <a16:creationId xmlns:a16="http://schemas.microsoft.com/office/drawing/2014/main" id="{50F99183-9948-C3FA-3B7B-83E066CAE555}"/>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33" name="TextBox 32">
            <a:extLst>
              <a:ext uri="{FF2B5EF4-FFF2-40B4-BE49-F238E27FC236}">
                <a16:creationId xmlns:a16="http://schemas.microsoft.com/office/drawing/2014/main" id="{F994BA31-CE44-8165-6C86-2A51D5419F73}"/>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34" name="Group 33">
            <a:extLst>
              <a:ext uri="{FF2B5EF4-FFF2-40B4-BE49-F238E27FC236}">
                <a16:creationId xmlns:a16="http://schemas.microsoft.com/office/drawing/2014/main" id="{C9EC94E7-48CD-EAC8-7562-D4A005574801}"/>
              </a:ext>
            </a:extLst>
          </xdr:cNvPr>
          <xdr:cNvGrpSpPr/>
        </xdr:nvGrpSpPr>
        <xdr:grpSpPr>
          <a:xfrm>
            <a:off x="5138008" y="14617043"/>
            <a:ext cx="1708983" cy="494290"/>
            <a:chOff x="847" y="12324893"/>
            <a:chExt cx="1725184" cy="486884"/>
          </a:xfrm>
        </xdr:grpSpPr>
        <xdr:sp macro="" textlink="">
          <xdr:nvSpPr>
            <xdr:cNvPr id="40" name="Rectangle: Rounded Corners 39">
              <a:extLst>
                <a:ext uri="{FF2B5EF4-FFF2-40B4-BE49-F238E27FC236}">
                  <a16:creationId xmlns:a16="http://schemas.microsoft.com/office/drawing/2014/main" id="{149F82B4-2585-1ABD-C6A1-65E4C2001448}"/>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33"/>
              <a:extLst>
                <a:ext uri="{FF2B5EF4-FFF2-40B4-BE49-F238E27FC236}">
                  <a16:creationId xmlns:a16="http://schemas.microsoft.com/office/drawing/2014/main" id="{BD6FEF74-5246-6284-A2C5-BDB594BFC7CD}"/>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2" name="Oval 41">
              <a:extLst>
                <a:ext uri="{FF2B5EF4-FFF2-40B4-BE49-F238E27FC236}">
                  <a16:creationId xmlns:a16="http://schemas.microsoft.com/office/drawing/2014/main" id="{6AD6E57D-2189-27DD-41E8-112F66E5301C}"/>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3" name="TextBox 42">
              <a:hlinkClick xmlns:r="http://schemas.openxmlformats.org/officeDocument/2006/relationships" r:id="rId33"/>
              <a:extLst>
                <a:ext uri="{FF2B5EF4-FFF2-40B4-BE49-F238E27FC236}">
                  <a16:creationId xmlns:a16="http://schemas.microsoft.com/office/drawing/2014/main" id="{D73822F6-036A-DC0D-E3A6-94CA5D28C32B}"/>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35" name="Group 34">
            <a:extLst>
              <a:ext uri="{FF2B5EF4-FFF2-40B4-BE49-F238E27FC236}">
                <a16:creationId xmlns:a16="http://schemas.microsoft.com/office/drawing/2014/main" id="{25503722-1A7F-BFB1-0E5A-5DFC86C19C64}"/>
              </a:ext>
            </a:extLst>
          </xdr:cNvPr>
          <xdr:cNvGrpSpPr/>
        </xdr:nvGrpSpPr>
        <xdr:grpSpPr>
          <a:xfrm>
            <a:off x="5137727" y="13144500"/>
            <a:ext cx="1707169" cy="464661"/>
            <a:chOff x="3415" y="11846315"/>
            <a:chExt cx="1725184" cy="456487"/>
          </a:xfrm>
        </xdr:grpSpPr>
        <xdr:sp macro="" textlink="">
          <xdr:nvSpPr>
            <xdr:cNvPr id="36" name="Rectangle: Rounded Corners 35">
              <a:hlinkClick xmlns:r="http://schemas.openxmlformats.org/officeDocument/2006/relationships" r:id="rId34"/>
              <a:extLst>
                <a:ext uri="{FF2B5EF4-FFF2-40B4-BE49-F238E27FC236}">
                  <a16:creationId xmlns:a16="http://schemas.microsoft.com/office/drawing/2014/main" id="{76F64D25-0C74-D1B0-7387-14929543D77E}"/>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7" name="TextBox 36">
              <a:hlinkClick xmlns:r="http://schemas.openxmlformats.org/officeDocument/2006/relationships" r:id="rId34"/>
              <a:extLst>
                <a:ext uri="{FF2B5EF4-FFF2-40B4-BE49-F238E27FC236}">
                  <a16:creationId xmlns:a16="http://schemas.microsoft.com/office/drawing/2014/main" id="{90CF46BD-C9AA-D634-349C-C8D9097148EE}"/>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38" name="Oval 37">
              <a:hlinkClick xmlns:r="http://schemas.openxmlformats.org/officeDocument/2006/relationships" r:id="rId34"/>
              <a:extLst>
                <a:ext uri="{FF2B5EF4-FFF2-40B4-BE49-F238E27FC236}">
                  <a16:creationId xmlns:a16="http://schemas.microsoft.com/office/drawing/2014/main" id="{F5BCB8D7-77FD-C507-69E6-10F3F9516F59}"/>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34"/>
              <a:extLst>
                <a:ext uri="{FF2B5EF4-FFF2-40B4-BE49-F238E27FC236}">
                  <a16:creationId xmlns:a16="http://schemas.microsoft.com/office/drawing/2014/main" id="{A2EE5C18-F3A3-7F30-FA1F-A489121FB831}"/>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51</xdr:row>
      <xdr:rowOff>158750</xdr:rowOff>
    </xdr:to>
    <xdr:sp macro="" textlink="">
      <xdr:nvSpPr>
        <xdr:cNvPr id="3" name="Rectangle: Rounded Corners 2">
          <a:extLst>
            <a:ext uri="{FF2B5EF4-FFF2-40B4-BE49-F238E27FC236}">
              <a16:creationId xmlns:a16="http://schemas.microsoft.com/office/drawing/2014/main" id="{950BE2A2-D48F-32BF-2027-AD8D7533B17B}"/>
            </a:ext>
          </a:extLst>
        </xdr:cNvPr>
        <xdr:cNvSpPr/>
      </xdr:nvSpPr>
      <xdr:spPr>
        <a:xfrm>
          <a:off x="0" y="0"/>
          <a:ext cx="1841776" cy="147383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256909</xdr:rowOff>
    </xdr:from>
    <xdr:to>
      <xdr:col>0</xdr:col>
      <xdr:colOff>1716134</xdr:colOff>
      <xdr:row>3</xdr:row>
      <xdr:rowOff>327842</xdr:rowOff>
    </xdr:to>
    <xdr:grpSp>
      <xdr:nvGrpSpPr>
        <xdr:cNvPr id="4" name="Group 3">
          <a:extLst>
            <a:ext uri="{FF2B5EF4-FFF2-40B4-BE49-F238E27FC236}">
              <a16:creationId xmlns:a16="http://schemas.microsoft.com/office/drawing/2014/main" id="{39EF2AE0-760F-E7DD-60F3-ADC86488F190}"/>
            </a:ext>
          </a:extLst>
        </xdr:cNvPr>
        <xdr:cNvGrpSpPr/>
      </xdr:nvGrpSpPr>
      <xdr:grpSpPr>
        <a:xfrm>
          <a:off x="11239" y="644259"/>
          <a:ext cx="1704895" cy="445583"/>
          <a:chOff x="17891" y="510932"/>
          <a:chExt cx="1724265" cy="444500"/>
        </a:xfrm>
      </xdr:grpSpPr>
      <xdr:sp macro="" textlink="">
        <xdr:nvSpPr>
          <xdr:cNvPr id="133" name="Rectangle: Rounded Corners 132">
            <a:extLst>
              <a:ext uri="{FF2B5EF4-FFF2-40B4-BE49-F238E27FC236}">
                <a16:creationId xmlns:a16="http://schemas.microsoft.com/office/drawing/2014/main" id="{6CA863B4-3279-9E45-75B1-7CC79F1D2C15}"/>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4" name="TextBox 133">
            <a:hlinkClick xmlns:r="http://schemas.openxmlformats.org/officeDocument/2006/relationships" r:id="rId1"/>
            <a:extLst>
              <a:ext uri="{FF2B5EF4-FFF2-40B4-BE49-F238E27FC236}">
                <a16:creationId xmlns:a16="http://schemas.microsoft.com/office/drawing/2014/main" id="{2DE5B126-710C-C768-5AAE-3E73A2F88636}"/>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5" name="Oval 134">
            <a:extLst>
              <a:ext uri="{FF2B5EF4-FFF2-40B4-BE49-F238E27FC236}">
                <a16:creationId xmlns:a16="http://schemas.microsoft.com/office/drawing/2014/main" id="{FCC8C0DF-10B4-5099-7B95-8D0125A11B09}"/>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16443</xdr:rowOff>
    </xdr:to>
    <xdr:pic>
      <xdr:nvPicPr>
        <xdr:cNvPr id="5" name="Graphic 4" descr="Home with solid fill">
          <a:hlinkClick xmlns:r="http://schemas.openxmlformats.org/officeDocument/2006/relationships" r:id="rId2"/>
          <a:extLst>
            <a:ext uri="{FF2B5EF4-FFF2-40B4-BE49-F238E27FC236}">
              <a16:creationId xmlns:a16="http://schemas.microsoft.com/office/drawing/2014/main" id="{43F12BF3-4996-B87F-ABD5-409378D0D5D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3793"/>
        </a:xfrm>
        <a:prstGeom prst="rect">
          <a:avLst/>
        </a:prstGeom>
      </xdr:spPr>
    </xdr:pic>
    <xdr:clientData/>
  </xdr:twoCellAnchor>
  <xdr:twoCellAnchor>
    <xdr:from>
      <xdr:col>0</xdr:col>
      <xdr:colOff>10917</xdr:colOff>
      <xdr:row>3</xdr:row>
      <xdr:rowOff>351256</xdr:rowOff>
    </xdr:from>
    <xdr:to>
      <xdr:col>0</xdr:col>
      <xdr:colOff>1715812</xdr:colOff>
      <xdr:row>4</xdr:row>
      <xdr:rowOff>233220</xdr:rowOff>
    </xdr:to>
    <xdr:grpSp>
      <xdr:nvGrpSpPr>
        <xdr:cNvPr id="6" name="Group 5">
          <a:extLst>
            <a:ext uri="{FF2B5EF4-FFF2-40B4-BE49-F238E27FC236}">
              <a16:creationId xmlns:a16="http://schemas.microsoft.com/office/drawing/2014/main" id="{6C65AAFB-AEF3-7935-C02A-486D2A5F92CC}"/>
            </a:ext>
          </a:extLst>
        </xdr:cNvPr>
        <xdr:cNvGrpSpPr/>
      </xdr:nvGrpSpPr>
      <xdr:grpSpPr>
        <a:xfrm>
          <a:off x="10917" y="1113256"/>
          <a:ext cx="1704895" cy="440764"/>
          <a:chOff x="23753" y="989136"/>
          <a:chExt cx="1724265" cy="444500"/>
        </a:xfrm>
      </xdr:grpSpPr>
      <xdr:sp macro="" textlink="">
        <xdr:nvSpPr>
          <xdr:cNvPr id="130" name="Rectangle: Rounded Corners 129">
            <a:extLst>
              <a:ext uri="{FF2B5EF4-FFF2-40B4-BE49-F238E27FC236}">
                <a16:creationId xmlns:a16="http://schemas.microsoft.com/office/drawing/2014/main" id="{811B7AE2-AB23-FD46-E2A4-07362F7F58F4}"/>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1" name="TextBox 130">
            <a:hlinkClick xmlns:r="http://schemas.openxmlformats.org/officeDocument/2006/relationships" r:id="rId5"/>
            <a:extLst>
              <a:ext uri="{FF2B5EF4-FFF2-40B4-BE49-F238E27FC236}">
                <a16:creationId xmlns:a16="http://schemas.microsoft.com/office/drawing/2014/main" id="{8BB3DFC2-6578-78BC-BE47-DF392C0259F6}"/>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2" name="Oval 131">
            <a:extLst>
              <a:ext uri="{FF2B5EF4-FFF2-40B4-BE49-F238E27FC236}">
                <a16:creationId xmlns:a16="http://schemas.microsoft.com/office/drawing/2014/main" id="{3AB990D4-B68D-89B1-6C98-19DE24E35CA3}"/>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19735</xdr:rowOff>
    </xdr:from>
    <xdr:to>
      <xdr:col>0</xdr:col>
      <xdr:colOff>1717958</xdr:colOff>
      <xdr:row>5</xdr:row>
      <xdr:rowOff>461842</xdr:rowOff>
    </xdr:to>
    <xdr:grpSp>
      <xdr:nvGrpSpPr>
        <xdr:cNvPr id="7" name="Group 6">
          <a:extLst>
            <a:ext uri="{FF2B5EF4-FFF2-40B4-BE49-F238E27FC236}">
              <a16:creationId xmlns:a16="http://schemas.microsoft.com/office/drawing/2014/main" id="{6042ED23-95E9-E9E4-DDA1-535271406BE9}"/>
            </a:ext>
          </a:extLst>
        </xdr:cNvPr>
        <xdr:cNvGrpSpPr/>
      </xdr:nvGrpSpPr>
      <xdr:grpSpPr>
        <a:xfrm>
          <a:off x="13063" y="2077135"/>
          <a:ext cx="1704895" cy="442107"/>
          <a:chOff x="13593" y="1983238"/>
          <a:chExt cx="1722818" cy="443309"/>
        </a:xfrm>
      </xdr:grpSpPr>
      <xdr:sp macro="" textlink="">
        <xdr:nvSpPr>
          <xdr:cNvPr id="127" name="Rectangle: Rounded Corners 126">
            <a:extLst>
              <a:ext uri="{FF2B5EF4-FFF2-40B4-BE49-F238E27FC236}">
                <a16:creationId xmlns:a16="http://schemas.microsoft.com/office/drawing/2014/main" id="{B0FBE55D-E89C-DB49-EDF6-2C61B7D63ABF}"/>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8" name="TextBox 127">
            <a:hlinkClick xmlns:r="http://schemas.openxmlformats.org/officeDocument/2006/relationships" r:id="rId6"/>
            <a:extLst>
              <a:ext uri="{FF2B5EF4-FFF2-40B4-BE49-F238E27FC236}">
                <a16:creationId xmlns:a16="http://schemas.microsoft.com/office/drawing/2014/main" id="{1F0356BD-D9BE-7773-B236-0EAF5A309546}"/>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29" name="Oval 128">
            <a:extLst>
              <a:ext uri="{FF2B5EF4-FFF2-40B4-BE49-F238E27FC236}">
                <a16:creationId xmlns:a16="http://schemas.microsoft.com/office/drawing/2014/main" id="{F484FE35-E404-1B95-C3C7-BCFB54935AAA}"/>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483217</xdr:rowOff>
    </xdr:from>
    <xdr:to>
      <xdr:col>0</xdr:col>
      <xdr:colOff>1715516</xdr:colOff>
      <xdr:row>6</xdr:row>
      <xdr:rowOff>371060</xdr:rowOff>
    </xdr:to>
    <xdr:grpSp>
      <xdr:nvGrpSpPr>
        <xdr:cNvPr id="8" name="Group 7">
          <a:extLst>
            <a:ext uri="{FF2B5EF4-FFF2-40B4-BE49-F238E27FC236}">
              <a16:creationId xmlns:a16="http://schemas.microsoft.com/office/drawing/2014/main" id="{64758AE3-58B7-B3D3-C5A5-E8F706FE44C5}"/>
            </a:ext>
          </a:extLst>
        </xdr:cNvPr>
        <xdr:cNvGrpSpPr/>
      </xdr:nvGrpSpPr>
      <xdr:grpSpPr>
        <a:xfrm>
          <a:off x="12799" y="2540617"/>
          <a:ext cx="1702717" cy="440293"/>
          <a:chOff x="13317" y="2459028"/>
          <a:chExt cx="1720554" cy="441552"/>
        </a:xfrm>
      </xdr:grpSpPr>
      <xdr:sp macro="" textlink="">
        <xdr:nvSpPr>
          <xdr:cNvPr id="124" name="Rectangle: Rounded Corners 123">
            <a:extLst>
              <a:ext uri="{FF2B5EF4-FFF2-40B4-BE49-F238E27FC236}">
                <a16:creationId xmlns:a16="http://schemas.microsoft.com/office/drawing/2014/main" id="{DCEFD45E-DC9A-8D1A-8209-9B68F14046AF}"/>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5" name="TextBox 124">
            <a:hlinkClick xmlns:r="http://schemas.openxmlformats.org/officeDocument/2006/relationships" r:id="rId7"/>
            <a:extLst>
              <a:ext uri="{FF2B5EF4-FFF2-40B4-BE49-F238E27FC236}">
                <a16:creationId xmlns:a16="http://schemas.microsoft.com/office/drawing/2014/main" id="{0FFA88F7-8A8E-CBA9-A8F7-0E377750A4D8}"/>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6" name="Oval 125">
            <a:extLst>
              <a:ext uri="{FF2B5EF4-FFF2-40B4-BE49-F238E27FC236}">
                <a16:creationId xmlns:a16="http://schemas.microsoft.com/office/drawing/2014/main" id="{12DFC3BE-AD86-A54C-7480-329C93918CB7}"/>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385157</xdr:rowOff>
    </xdr:from>
    <xdr:to>
      <xdr:col>0</xdr:col>
      <xdr:colOff>1713076</xdr:colOff>
      <xdr:row>7</xdr:row>
      <xdr:rowOff>285707</xdr:rowOff>
    </xdr:to>
    <xdr:grpSp>
      <xdr:nvGrpSpPr>
        <xdr:cNvPr id="9" name="Group 8">
          <a:extLst>
            <a:ext uri="{FF2B5EF4-FFF2-40B4-BE49-F238E27FC236}">
              <a16:creationId xmlns:a16="http://schemas.microsoft.com/office/drawing/2014/main" id="{ED10EAFD-7477-0400-868A-E3888BE654ED}"/>
            </a:ext>
          </a:extLst>
        </xdr:cNvPr>
        <xdr:cNvGrpSpPr/>
      </xdr:nvGrpSpPr>
      <xdr:grpSpPr>
        <a:xfrm>
          <a:off x="8181" y="2995007"/>
          <a:ext cx="1704895" cy="453000"/>
          <a:chOff x="8513" y="2976867"/>
          <a:chExt cx="1722818" cy="451725"/>
        </a:xfrm>
      </xdr:grpSpPr>
      <xdr:sp macro="" textlink="">
        <xdr:nvSpPr>
          <xdr:cNvPr id="120" name="Rectangle: Rounded Corners 119">
            <a:extLst>
              <a:ext uri="{FF2B5EF4-FFF2-40B4-BE49-F238E27FC236}">
                <a16:creationId xmlns:a16="http://schemas.microsoft.com/office/drawing/2014/main" id="{05AE12FE-5E95-66B0-76C5-886674C7ACA7}"/>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1" name="TextBox 120">
            <a:hlinkClick xmlns:r="http://schemas.openxmlformats.org/officeDocument/2006/relationships" r:id="rId7"/>
            <a:extLst>
              <a:ext uri="{FF2B5EF4-FFF2-40B4-BE49-F238E27FC236}">
                <a16:creationId xmlns:a16="http://schemas.microsoft.com/office/drawing/2014/main" id="{049C1369-8A7F-249F-72EB-3B4FEE619682}"/>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2" name="Oval 121">
            <a:extLst>
              <a:ext uri="{FF2B5EF4-FFF2-40B4-BE49-F238E27FC236}">
                <a16:creationId xmlns:a16="http://schemas.microsoft.com/office/drawing/2014/main" id="{8FCE0852-9149-4EF2-0860-A3EFEFD27924}"/>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3" name="TextBox 122">
            <a:hlinkClick xmlns:r="http://schemas.openxmlformats.org/officeDocument/2006/relationships" r:id="rId8"/>
            <a:extLst>
              <a:ext uri="{FF2B5EF4-FFF2-40B4-BE49-F238E27FC236}">
                <a16:creationId xmlns:a16="http://schemas.microsoft.com/office/drawing/2014/main" id="{2382A3DC-A61D-9625-192E-CF56D32E0AF6}"/>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255237</xdr:rowOff>
    </xdr:from>
    <xdr:to>
      <xdr:col>0</xdr:col>
      <xdr:colOff>1716667</xdr:colOff>
      <xdr:row>4</xdr:row>
      <xdr:rowOff>735973</xdr:rowOff>
    </xdr:to>
    <xdr:grpSp>
      <xdr:nvGrpSpPr>
        <xdr:cNvPr id="10" name="Group 9">
          <a:extLst>
            <a:ext uri="{FF2B5EF4-FFF2-40B4-BE49-F238E27FC236}">
              <a16:creationId xmlns:a16="http://schemas.microsoft.com/office/drawing/2014/main" id="{88270160-BC50-7899-2835-762C9AEEFDF2}"/>
            </a:ext>
          </a:extLst>
        </xdr:cNvPr>
        <xdr:cNvGrpSpPr/>
      </xdr:nvGrpSpPr>
      <xdr:grpSpPr>
        <a:xfrm>
          <a:off x="11772" y="1576037"/>
          <a:ext cx="1704895" cy="480736"/>
          <a:chOff x="21544" y="1467318"/>
          <a:chExt cx="1724265" cy="477164"/>
        </a:xfrm>
      </xdr:grpSpPr>
      <xdr:sp macro="" textlink="">
        <xdr:nvSpPr>
          <xdr:cNvPr id="117" name="Rectangle: Rounded Corners 116">
            <a:extLst>
              <a:ext uri="{FF2B5EF4-FFF2-40B4-BE49-F238E27FC236}">
                <a16:creationId xmlns:a16="http://schemas.microsoft.com/office/drawing/2014/main" id="{C3A07E83-53CB-FBAC-5DD8-64AC3CBF60D8}"/>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8" name="TextBox 117">
            <a:hlinkClick xmlns:r="http://schemas.openxmlformats.org/officeDocument/2006/relationships" r:id="rId9"/>
            <a:extLst>
              <a:ext uri="{FF2B5EF4-FFF2-40B4-BE49-F238E27FC236}">
                <a16:creationId xmlns:a16="http://schemas.microsoft.com/office/drawing/2014/main" id="{B132F543-C2B9-E325-F8EE-4DF0BC85E70C}"/>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19" name="Oval 118">
            <a:extLst>
              <a:ext uri="{FF2B5EF4-FFF2-40B4-BE49-F238E27FC236}">
                <a16:creationId xmlns:a16="http://schemas.microsoft.com/office/drawing/2014/main" id="{F7797593-AD5F-AB91-A9CF-1583329E113B}"/>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298723</xdr:rowOff>
    </xdr:from>
    <xdr:to>
      <xdr:col>0</xdr:col>
      <xdr:colOff>1713094</xdr:colOff>
      <xdr:row>8</xdr:row>
      <xdr:rowOff>39482</xdr:rowOff>
    </xdr:to>
    <xdr:grpSp>
      <xdr:nvGrpSpPr>
        <xdr:cNvPr id="11" name="Group 10">
          <a:extLst>
            <a:ext uri="{FF2B5EF4-FFF2-40B4-BE49-F238E27FC236}">
              <a16:creationId xmlns:a16="http://schemas.microsoft.com/office/drawing/2014/main" id="{DF4B7ABC-C186-D114-73D6-765FC7978737}"/>
            </a:ext>
          </a:extLst>
        </xdr:cNvPr>
        <xdr:cNvGrpSpPr/>
      </xdr:nvGrpSpPr>
      <xdr:grpSpPr>
        <a:xfrm>
          <a:off x="8199" y="3461023"/>
          <a:ext cx="1704895" cy="477359"/>
          <a:chOff x="8532" y="3456662"/>
          <a:chExt cx="1722818" cy="482122"/>
        </a:xfrm>
      </xdr:grpSpPr>
      <xdr:sp macro="" textlink="">
        <xdr:nvSpPr>
          <xdr:cNvPr id="113" name="Rectangle: Rounded Corners 112">
            <a:extLst>
              <a:ext uri="{FF2B5EF4-FFF2-40B4-BE49-F238E27FC236}">
                <a16:creationId xmlns:a16="http://schemas.microsoft.com/office/drawing/2014/main" id="{325738E3-D844-E5E9-94BA-6E11672B158E}"/>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4" name="TextBox 113">
            <a:hlinkClick xmlns:r="http://schemas.openxmlformats.org/officeDocument/2006/relationships" r:id="rId10"/>
            <a:extLst>
              <a:ext uri="{FF2B5EF4-FFF2-40B4-BE49-F238E27FC236}">
                <a16:creationId xmlns:a16="http://schemas.microsoft.com/office/drawing/2014/main" id="{0EEDE57E-0BC8-C51E-7A53-B1EEB1A23BA5}"/>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5" name="Oval 114">
            <a:extLst>
              <a:ext uri="{FF2B5EF4-FFF2-40B4-BE49-F238E27FC236}">
                <a16:creationId xmlns:a16="http://schemas.microsoft.com/office/drawing/2014/main" id="{2B61F67E-C3BE-FDA5-8D88-67CA39DB39D5}"/>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6" name="TextBox 115">
            <a:hlinkClick xmlns:r="http://schemas.openxmlformats.org/officeDocument/2006/relationships" r:id="rId10"/>
            <a:extLst>
              <a:ext uri="{FF2B5EF4-FFF2-40B4-BE49-F238E27FC236}">
                <a16:creationId xmlns:a16="http://schemas.microsoft.com/office/drawing/2014/main" id="{532DC300-E2EE-B0E2-92DE-313CEC661FB9}"/>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52117</xdr:rowOff>
    </xdr:from>
    <xdr:to>
      <xdr:col>0</xdr:col>
      <xdr:colOff>1713246</xdr:colOff>
      <xdr:row>8</xdr:row>
      <xdr:rowOff>508041</xdr:rowOff>
    </xdr:to>
    <xdr:grpSp>
      <xdr:nvGrpSpPr>
        <xdr:cNvPr id="12" name="Group 11">
          <a:extLst>
            <a:ext uri="{FF2B5EF4-FFF2-40B4-BE49-F238E27FC236}">
              <a16:creationId xmlns:a16="http://schemas.microsoft.com/office/drawing/2014/main" id="{23EC7F57-44B9-1253-ED61-315FA9ABCA51}"/>
            </a:ext>
          </a:extLst>
        </xdr:cNvPr>
        <xdr:cNvGrpSpPr/>
      </xdr:nvGrpSpPr>
      <xdr:grpSpPr>
        <a:xfrm>
          <a:off x="6077" y="3951017"/>
          <a:ext cx="1707169" cy="455924"/>
          <a:chOff x="6323" y="3964228"/>
          <a:chExt cx="1725184" cy="454551"/>
        </a:xfrm>
      </xdr:grpSpPr>
      <xdr:sp macro="" textlink="">
        <xdr:nvSpPr>
          <xdr:cNvPr id="109" name="Rectangle: Rounded Corners 108">
            <a:extLst>
              <a:ext uri="{FF2B5EF4-FFF2-40B4-BE49-F238E27FC236}">
                <a16:creationId xmlns:a16="http://schemas.microsoft.com/office/drawing/2014/main" id="{7EE50D1E-99B5-496B-8ECB-7EA396E1FEBD}"/>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0" name="TextBox 109">
            <a:hlinkClick xmlns:r="http://schemas.openxmlformats.org/officeDocument/2006/relationships" r:id="rId11"/>
            <a:extLst>
              <a:ext uri="{FF2B5EF4-FFF2-40B4-BE49-F238E27FC236}">
                <a16:creationId xmlns:a16="http://schemas.microsoft.com/office/drawing/2014/main" id="{521EFC2A-413C-30D2-EDDC-E7141B2C82E5}"/>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1" name="Oval 110">
            <a:extLst>
              <a:ext uri="{FF2B5EF4-FFF2-40B4-BE49-F238E27FC236}">
                <a16:creationId xmlns:a16="http://schemas.microsoft.com/office/drawing/2014/main" id="{F25F1F07-B9C9-0C8E-A4AE-38FFB67A62C8}"/>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2" name="TextBox 111">
            <a:hlinkClick xmlns:r="http://schemas.openxmlformats.org/officeDocument/2006/relationships" r:id="rId11"/>
            <a:extLst>
              <a:ext uri="{FF2B5EF4-FFF2-40B4-BE49-F238E27FC236}">
                <a16:creationId xmlns:a16="http://schemas.microsoft.com/office/drawing/2014/main" id="{37B5071F-06F3-0302-98E4-CEA49DCB8248}"/>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525051</xdr:rowOff>
    </xdr:from>
    <xdr:to>
      <xdr:col>0</xdr:col>
      <xdr:colOff>1709917</xdr:colOff>
      <xdr:row>9</xdr:row>
      <xdr:rowOff>460917</xdr:rowOff>
    </xdr:to>
    <xdr:grpSp>
      <xdr:nvGrpSpPr>
        <xdr:cNvPr id="13" name="Group 12">
          <a:extLst>
            <a:ext uri="{FF2B5EF4-FFF2-40B4-BE49-F238E27FC236}">
              <a16:creationId xmlns:a16="http://schemas.microsoft.com/office/drawing/2014/main" id="{6DCE8B30-B3AC-1C86-DA96-D13C544FCEA9}"/>
            </a:ext>
          </a:extLst>
        </xdr:cNvPr>
        <xdr:cNvGrpSpPr/>
      </xdr:nvGrpSpPr>
      <xdr:grpSpPr>
        <a:xfrm>
          <a:off x="2748" y="4423951"/>
          <a:ext cx="1707169" cy="488316"/>
          <a:chOff x="2860" y="4442071"/>
          <a:chExt cx="1725184" cy="485874"/>
        </a:xfrm>
      </xdr:grpSpPr>
      <xdr:sp macro="" textlink="">
        <xdr:nvSpPr>
          <xdr:cNvPr id="105" name="Rectangle: Rounded Corners 104">
            <a:extLst>
              <a:ext uri="{FF2B5EF4-FFF2-40B4-BE49-F238E27FC236}">
                <a16:creationId xmlns:a16="http://schemas.microsoft.com/office/drawing/2014/main" id="{576B622A-D4DC-6728-22C6-001D6B6D1BE0}"/>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6" name="TextBox 105">
            <a:hlinkClick xmlns:r="http://schemas.openxmlformats.org/officeDocument/2006/relationships" r:id="rId12"/>
            <a:extLst>
              <a:ext uri="{FF2B5EF4-FFF2-40B4-BE49-F238E27FC236}">
                <a16:creationId xmlns:a16="http://schemas.microsoft.com/office/drawing/2014/main" id="{B61FDB90-7A98-6004-C9EC-25CCBABDA291}"/>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7" name="Oval 106">
            <a:extLst>
              <a:ext uri="{FF2B5EF4-FFF2-40B4-BE49-F238E27FC236}">
                <a16:creationId xmlns:a16="http://schemas.microsoft.com/office/drawing/2014/main" id="{AAC78850-0410-2033-962D-68CACD7CA6F8}"/>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8" name="TextBox 107">
            <a:hlinkClick xmlns:r="http://schemas.openxmlformats.org/officeDocument/2006/relationships" r:id="rId12"/>
            <a:extLst>
              <a:ext uri="{FF2B5EF4-FFF2-40B4-BE49-F238E27FC236}">
                <a16:creationId xmlns:a16="http://schemas.microsoft.com/office/drawing/2014/main" id="{DBA988FE-D9A4-A4DC-C69E-A2EA2B74294E}"/>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482972</xdr:rowOff>
    </xdr:from>
    <xdr:to>
      <xdr:col>0</xdr:col>
      <xdr:colOff>1709302</xdr:colOff>
      <xdr:row>11</xdr:row>
      <xdr:rowOff>12742</xdr:rowOff>
    </xdr:to>
    <xdr:grpSp>
      <xdr:nvGrpSpPr>
        <xdr:cNvPr id="14" name="Group 13">
          <a:extLst>
            <a:ext uri="{FF2B5EF4-FFF2-40B4-BE49-F238E27FC236}">
              <a16:creationId xmlns:a16="http://schemas.microsoft.com/office/drawing/2014/main" id="{25D9655D-2815-8A89-3939-A2969335DFD8}"/>
            </a:ext>
          </a:extLst>
        </xdr:cNvPr>
        <xdr:cNvGrpSpPr/>
      </xdr:nvGrpSpPr>
      <xdr:grpSpPr>
        <a:xfrm>
          <a:off x="2133" y="4934322"/>
          <a:ext cx="1707169" cy="450520"/>
          <a:chOff x="2219" y="4949272"/>
          <a:chExt cx="1725184" cy="456170"/>
        </a:xfrm>
      </xdr:grpSpPr>
      <xdr:sp macro="" textlink="">
        <xdr:nvSpPr>
          <xdr:cNvPr id="101" name="Rectangle: Rounded Corners 100">
            <a:extLst>
              <a:ext uri="{FF2B5EF4-FFF2-40B4-BE49-F238E27FC236}">
                <a16:creationId xmlns:a16="http://schemas.microsoft.com/office/drawing/2014/main" id="{6731CAB5-9DE5-10CC-CAE5-51EA8231C58D}"/>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2" name="TextBox 101">
            <a:hlinkClick xmlns:r="http://schemas.openxmlformats.org/officeDocument/2006/relationships" r:id="rId13"/>
            <a:extLst>
              <a:ext uri="{FF2B5EF4-FFF2-40B4-BE49-F238E27FC236}">
                <a16:creationId xmlns:a16="http://schemas.microsoft.com/office/drawing/2014/main" id="{7910C6A3-7009-59CE-A947-C9161892F9C5}"/>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3" name="Oval 102">
            <a:extLst>
              <a:ext uri="{FF2B5EF4-FFF2-40B4-BE49-F238E27FC236}">
                <a16:creationId xmlns:a16="http://schemas.microsoft.com/office/drawing/2014/main" id="{A0554255-C572-15B7-496A-A9E9683FFC0A}"/>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4" name="TextBox 103">
            <a:hlinkClick xmlns:r="http://schemas.openxmlformats.org/officeDocument/2006/relationships" r:id="rId13"/>
            <a:extLst>
              <a:ext uri="{FF2B5EF4-FFF2-40B4-BE49-F238E27FC236}">
                <a16:creationId xmlns:a16="http://schemas.microsoft.com/office/drawing/2014/main" id="{3FE6D14B-B5A8-89E4-7A93-E75D60F04DDD}"/>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11</xdr:row>
      <xdr:rowOff>31419</xdr:rowOff>
    </xdr:from>
    <xdr:to>
      <xdr:col>0</xdr:col>
      <xdr:colOff>1709298</xdr:colOff>
      <xdr:row>11</xdr:row>
      <xdr:rowOff>514531</xdr:rowOff>
    </xdr:to>
    <xdr:grpSp>
      <xdr:nvGrpSpPr>
        <xdr:cNvPr id="15" name="Group 14">
          <a:extLst>
            <a:ext uri="{FF2B5EF4-FFF2-40B4-BE49-F238E27FC236}">
              <a16:creationId xmlns:a16="http://schemas.microsoft.com/office/drawing/2014/main" id="{C3725E11-DE2F-83E5-B166-8634A937559C}"/>
            </a:ext>
          </a:extLst>
        </xdr:cNvPr>
        <xdr:cNvGrpSpPr/>
      </xdr:nvGrpSpPr>
      <xdr:grpSpPr>
        <a:xfrm>
          <a:off x="2129" y="5403519"/>
          <a:ext cx="1707169" cy="483112"/>
          <a:chOff x="2215" y="5434042"/>
          <a:chExt cx="1725184" cy="486597"/>
        </a:xfrm>
      </xdr:grpSpPr>
      <xdr:sp macro="" textlink="">
        <xdr:nvSpPr>
          <xdr:cNvPr id="97" name="Rectangle: Rounded Corners 96">
            <a:extLst>
              <a:ext uri="{FF2B5EF4-FFF2-40B4-BE49-F238E27FC236}">
                <a16:creationId xmlns:a16="http://schemas.microsoft.com/office/drawing/2014/main" id="{AF9E8197-757B-A456-27C5-05958E1D6AFF}"/>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8" name="TextBox 97">
            <a:hlinkClick xmlns:r="http://schemas.openxmlformats.org/officeDocument/2006/relationships" r:id="rId14"/>
            <a:extLst>
              <a:ext uri="{FF2B5EF4-FFF2-40B4-BE49-F238E27FC236}">
                <a16:creationId xmlns:a16="http://schemas.microsoft.com/office/drawing/2014/main" id="{44EA2E93-BBCF-6949-FEF2-BB37C32CA06D}"/>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9" name="Oval 98">
            <a:extLst>
              <a:ext uri="{FF2B5EF4-FFF2-40B4-BE49-F238E27FC236}">
                <a16:creationId xmlns:a16="http://schemas.microsoft.com/office/drawing/2014/main" id="{B4B71E9A-9B1E-19F1-35C6-087FD20BB8E2}"/>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0" name="TextBox 99">
            <a:hlinkClick xmlns:r="http://schemas.openxmlformats.org/officeDocument/2006/relationships" r:id="rId14"/>
            <a:extLst>
              <a:ext uri="{FF2B5EF4-FFF2-40B4-BE49-F238E27FC236}">
                <a16:creationId xmlns:a16="http://schemas.microsoft.com/office/drawing/2014/main" id="{2FCBBD15-32FC-264F-6D37-8AB24389EF52}"/>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532158</xdr:rowOff>
    </xdr:from>
    <xdr:to>
      <xdr:col>0</xdr:col>
      <xdr:colOff>1709296</xdr:colOff>
      <xdr:row>12</xdr:row>
      <xdr:rowOff>468024</xdr:rowOff>
    </xdr:to>
    <xdr:grpSp>
      <xdr:nvGrpSpPr>
        <xdr:cNvPr id="16" name="Group 15">
          <a:extLst>
            <a:ext uri="{FF2B5EF4-FFF2-40B4-BE49-F238E27FC236}">
              <a16:creationId xmlns:a16="http://schemas.microsoft.com/office/drawing/2014/main" id="{7AE9E2B8-6ED1-32F4-9B2A-1B8E3941CE5F}"/>
            </a:ext>
          </a:extLst>
        </xdr:cNvPr>
        <xdr:cNvGrpSpPr/>
      </xdr:nvGrpSpPr>
      <xdr:grpSpPr>
        <a:xfrm>
          <a:off x="2127" y="5904258"/>
          <a:ext cx="1707169" cy="488316"/>
          <a:chOff x="2213" y="5938772"/>
          <a:chExt cx="1725184" cy="485874"/>
        </a:xfrm>
      </xdr:grpSpPr>
      <xdr:sp macro="" textlink="">
        <xdr:nvSpPr>
          <xdr:cNvPr id="93" name="Rectangle: Rounded Corners 92">
            <a:extLst>
              <a:ext uri="{FF2B5EF4-FFF2-40B4-BE49-F238E27FC236}">
                <a16:creationId xmlns:a16="http://schemas.microsoft.com/office/drawing/2014/main" id="{A9F06C0E-A8DE-0B03-CA87-C6AD1DB35293}"/>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4" name="TextBox 93">
            <a:hlinkClick xmlns:r="http://schemas.openxmlformats.org/officeDocument/2006/relationships" r:id="rId15"/>
            <a:extLst>
              <a:ext uri="{FF2B5EF4-FFF2-40B4-BE49-F238E27FC236}">
                <a16:creationId xmlns:a16="http://schemas.microsoft.com/office/drawing/2014/main" id="{AB5E0F22-631F-8ED9-B3B0-172690182177}"/>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5" name="Oval 94">
            <a:extLst>
              <a:ext uri="{FF2B5EF4-FFF2-40B4-BE49-F238E27FC236}">
                <a16:creationId xmlns:a16="http://schemas.microsoft.com/office/drawing/2014/main" id="{E417ED12-61DA-96BA-62C6-492B3DB75CC9}"/>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6" name="TextBox 95">
            <a:hlinkClick xmlns:r="http://schemas.openxmlformats.org/officeDocument/2006/relationships" r:id="rId15"/>
            <a:extLst>
              <a:ext uri="{FF2B5EF4-FFF2-40B4-BE49-F238E27FC236}">
                <a16:creationId xmlns:a16="http://schemas.microsoft.com/office/drawing/2014/main" id="{727F89AF-CA3D-6F0B-C263-B4131B11B60E}"/>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487562</xdr:rowOff>
    </xdr:from>
    <xdr:to>
      <xdr:col>0</xdr:col>
      <xdr:colOff>1708011</xdr:colOff>
      <xdr:row>13</xdr:row>
      <xdr:rowOff>386412</xdr:rowOff>
    </xdr:to>
    <xdr:grpSp>
      <xdr:nvGrpSpPr>
        <xdr:cNvPr id="17" name="Group 16">
          <a:extLst>
            <a:ext uri="{FF2B5EF4-FFF2-40B4-BE49-F238E27FC236}">
              <a16:creationId xmlns:a16="http://schemas.microsoft.com/office/drawing/2014/main" id="{64562833-7E5E-01FE-17CD-74EBFBF958D2}"/>
            </a:ext>
          </a:extLst>
        </xdr:cNvPr>
        <xdr:cNvGrpSpPr/>
      </xdr:nvGrpSpPr>
      <xdr:grpSpPr>
        <a:xfrm>
          <a:off x="842" y="6412112"/>
          <a:ext cx="1707169" cy="451300"/>
          <a:chOff x="876" y="6443539"/>
          <a:chExt cx="1725184" cy="456924"/>
        </a:xfrm>
      </xdr:grpSpPr>
      <xdr:sp macro="" textlink="">
        <xdr:nvSpPr>
          <xdr:cNvPr id="89" name="Rectangle: Rounded Corners 88">
            <a:extLst>
              <a:ext uri="{FF2B5EF4-FFF2-40B4-BE49-F238E27FC236}">
                <a16:creationId xmlns:a16="http://schemas.microsoft.com/office/drawing/2014/main" id="{D81CD974-3403-7F8D-DCC7-C0EC50CBA263}"/>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0" name="TextBox 89">
            <a:hlinkClick xmlns:r="http://schemas.openxmlformats.org/officeDocument/2006/relationships" r:id="rId16"/>
            <a:extLst>
              <a:ext uri="{FF2B5EF4-FFF2-40B4-BE49-F238E27FC236}">
                <a16:creationId xmlns:a16="http://schemas.microsoft.com/office/drawing/2014/main" id="{5D43DE1A-7B08-0A9C-7167-F14E745424D6}"/>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1" name="Oval 90">
            <a:extLst>
              <a:ext uri="{FF2B5EF4-FFF2-40B4-BE49-F238E27FC236}">
                <a16:creationId xmlns:a16="http://schemas.microsoft.com/office/drawing/2014/main" id="{E7C76B59-8940-5387-F18C-E270D81AB171}"/>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2" name="TextBox 91">
            <a:hlinkClick xmlns:r="http://schemas.openxmlformats.org/officeDocument/2006/relationships" r:id="rId16"/>
            <a:extLst>
              <a:ext uri="{FF2B5EF4-FFF2-40B4-BE49-F238E27FC236}">
                <a16:creationId xmlns:a16="http://schemas.microsoft.com/office/drawing/2014/main" id="{903E0A7C-BF85-1D88-6D4D-0CD390E880D7}"/>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14</xdr:row>
      <xdr:rowOff>355198</xdr:rowOff>
    </xdr:from>
    <xdr:to>
      <xdr:col>0</xdr:col>
      <xdr:colOff>1708946</xdr:colOff>
      <xdr:row>15</xdr:row>
      <xdr:rowOff>77914</xdr:rowOff>
    </xdr:to>
    <xdr:grpSp>
      <xdr:nvGrpSpPr>
        <xdr:cNvPr id="18" name="Group 17">
          <a:extLst>
            <a:ext uri="{FF2B5EF4-FFF2-40B4-BE49-F238E27FC236}">
              <a16:creationId xmlns:a16="http://schemas.microsoft.com/office/drawing/2014/main" id="{1DB700AD-8E62-F3F0-5494-47996AB105F3}"/>
            </a:ext>
          </a:extLst>
        </xdr:cNvPr>
        <xdr:cNvGrpSpPr/>
      </xdr:nvGrpSpPr>
      <xdr:grpSpPr>
        <a:xfrm>
          <a:off x="1777" y="7384648"/>
          <a:ext cx="1707169" cy="459316"/>
          <a:chOff x="1849" y="7421500"/>
          <a:chExt cx="1725184" cy="457832"/>
        </a:xfrm>
      </xdr:grpSpPr>
      <xdr:sp macro="" textlink="">
        <xdr:nvSpPr>
          <xdr:cNvPr id="85" name="Rectangle: Rounded Corners 84">
            <a:extLst>
              <a:ext uri="{FF2B5EF4-FFF2-40B4-BE49-F238E27FC236}">
                <a16:creationId xmlns:a16="http://schemas.microsoft.com/office/drawing/2014/main" id="{1667D355-36F5-34B0-21FF-EE1BF1BD638A}"/>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6" name="TextBox 85">
            <a:hlinkClick xmlns:r="http://schemas.openxmlformats.org/officeDocument/2006/relationships" r:id="rId17"/>
            <a:extLst>
              <a:ext uri="{FF2B5EF4-FFF2-40B4-BE49-F238E27FC236}">
                <a16:creationId xmlns:a16="http://schemas.microsoft.com/office/drawing/2014/main" id="{95B5A99F-E4AF-B22E-AD82-0E6D01E161AD}"/>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7" name="Oval 86">
            <a:extLst>
              <a:ext uri="{FF2B5EF4-FFF2-40B4-BE49-F238E27FC236}">
                <a16:creationId xmlns:a16="http://schemas.microsoft.com/office/drawing/2014/main" id="{1B73A3C4-E6C9-A7F4-A3C0-59270EAA51EE}"/>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8" name="TextBox 87">
            <a:hlinkClick xmlns:r="http://schemas.openxmlformats.org/officeDocument/2006/relationships" r:id="rId17"/>
            <a:extLst>
              <a:ext uri="{FF2B5EF4-FFF2-40B4-BE49-F238E27FC236}">
                <a16:creationId xmlns:a16="http://schemas.microsoft.com/office/drawing/2014/main" id="{DD959521-0E50-DD32-B005-86500C9EB71B}"/>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15</xdr:row>
      <xdr:rowOff>105111</xdr:rowOff>
    </xdr:from>
    <xdr:to>
      <xdr:col>0</xdr:col>
      <xdr:colOff>1710873</xdr:colOff>
      <xdr:row>17</xdr:row>
      <xdr:rowOff>34884</xdr:rowOff>
    </xdr:to>
    <xdr:grpSp>
      <xdr:nvGrpSpPr>
        <xdr:cNvPr id="19" name="Group 18">
          <a:extLst>
            <a:ext uri="{FF2B5EF4-FFF2-40B4-BE49-F238E27FC236}">
              <a16:creationId xmlns:a16="http://schemas.microsoft.com/office/drawing/2014/main" id="{1C32B412-0614-69D5-8863-788A2A290036}"/>
            </a:ext>
          </a:extLst>
        </xdr:cNvPr>
        <xdr:cNvGrpSpPr/>
      </xdr:nvGrpSpPr>
      <xdr:grpSpPr>
        <a:xfrm>
          <a:off x="3704" y="7871161"/>
          <a:ext cx="1707169" cy="482223"/>
          <a:chOff x="3854" y="7898602"/>
          <a:chExt cx="1725184" cy="486825"/>
        </a:xfrm>
      </xdr:grpSpPr>
      <xdr:sp macro="" textlink="">
        <xdr:nvSpPr>
          <xdr:cNvPr id="81" name="Rectangle: Rounded Corners 80">
            <a:extLst>
              <a:ext uri="{FF2B5EF4-FFF2-40B4-BE49-F238E27FC236}">
                <a16:creationId xmlns:a16="http://schemas.microsoft.com/office/drawing/2014/main" id="{C836E1CB-4962-A2E6-D020-B4D5EC2D7EE5}"/>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2" name="TextBox 81">
            <a:hlinkClick xmlns:r="http://schemas.openxmlformats.org/officeDocument/2006/relationships" r:id="rId18"/>
            <a:extLst>
              <a:ext uri="{FF2B5EF4-FFF2-40B4-BE49-F238E27FC236}">
                <a16:creationId xmlns:a16="http://schemas.microsoft.com/office/drawing/2014/main" id="{FD75C1E9-8B7F-54C6-3284-3CD6F576999D}"/>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3" name="Oval 82">
            <a:extLst>
              <a:ext uri="{FF2B5EF4-FFF2-40B4-BE49-F238E27FC236}">
                <a16:creationId xmlns:a16="http://schemas.microsoft.com/office/drawing/2014/main" id="{0855410B-0613-1BBE-5787-D2D61FEA5BF7}"/>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4" name="TextBox 83">
            <a:hlinkClick xmlns:r="http://schemas.openxmlformats.org/officeDocument/2006/relationships" r:id="rId18"/>
            <a:extLst>
              <a:ext uri="{FF2B5EF4-FFF2-40B4-BE49-F238E27FC236}">
                <a16:creationId xmlns:a16="http://schemas.microsoft.com/office/drawing/2014/main" id="{992DE361-6ACF-8D36-4335-195493F6A8C7}"/>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17</xdr:row>
      <xdr:rowOff>58682</xdr:rowOff>
    </xdr:from>
    <xdr:to>
      <xdr:col>0</xdr:col>
      <xdr:colOff>1712157</xdr:colOff>
      <xdr:row>19</xdr:row>
      <xdr:rowOff>147219</xdr:rowOff>
    </xdr:to>
    <xdr:grpSp>
      <xdr:nvGrpSpPr>
        <xdr:cNvPr id="20" name="Group 19">
          <a:extLst>
            <a:ext uri="{FF2B5EF4-FFF2-40B4-BE49-F238E27FC236}">
              <a16:creationId xmlns:a16="http://schemas.microsoft.com/office/drawing/2014/main" id="{5232B6B4-67E5-8FFD-E202-55C62A532CCA}"/>
            </a:ext>
          </a:extLst>
        </xdr:cNvPr>
        <xdr:cNvGrpSpPr/>
      </xdr:nvGrpSpPr>
      <xdr:grpSpPr>
        <a:xfrm>
          <a:off x="4988" y="8377182"/>
          <a:ext cx="1707169" cy="456837"/>
          <a:chOff x="5190" y="8408439"/>
          <a:chExt cx="1725184" cy="455434"/>
        </a:xfrm>
      </xdr:grpSpPr>
      <xdr:sp macro="" textlink="">
        <xdr:nvSpPr>
          <xdr:cNvPr id="77" name="Rectangle: Rounded Corners 76">
            <a:extLst>
              <a:ext uri="{FF2B5EF4-FFF2-40B4-BE49-F238E27FC236}">
                <a16:creationId xmlns:a16="http://schemas.microsoft.com/office/drawing/2014/main" id="{B10CF4B7-8E71-F3DD-0E24-987658D2E23D}"/>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8" name="TextBox 77">
            <a:hlinkClick xmlns:r="http://schemas.openxmlformats.org/officeDocument/2006/relationships" r:id="rId19"/>
            <a:extLst>
              <a:ext uri="{FF2B5EF4-FFF2-40B4-BE49-F238E27FC236}">
                <a16:creationId xmlns:a16="http://schemas.microsoft.com/office/drawing/2014/main" id="{8F333B08-A2E7-3DA0-4EB7-7223B46EB2DC}"/>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9" name="Oval 78">
            <a:extLst>
              <a:ext uri="{FF2B5EF4-FFF2-40B4-BE49-F238E27FC236}">
                <a16:creationId xmlns:a16="http://schemas.microsoft.com/office/drawing/2014/main" id="{0A8A0788-5DDE-CC83-1152-DC3D67A2C374}"/>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0" name="TextBox 79">
            <a:hlinkClick xmlns:r="http://schemas.openxmlformats.org/officeDocument/2006/relationships" r:id="rId19"/>
            <a:extLst>
              <a:ext uri="{FF2B5EF4-FFF2-40B4-BE49-F238E27FC236}">
                <a16:creationId xmlns:a16="http://schemas.microsoft.com/office/drawing/2014/main" id="{8C9B7A75-AAA0-323A-6D47-5E1BDF638E49}"/>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19</xdr:row>
      <xdr:rowOff>159843</xdr:rowOff>
    </xdr:from>
    <xdr:to>
      <xdr:col>0</xdr:col>
      <xdr:colOff>1713207</xdr:colOff>
      <xdr:row>22</xdr:row>
      <xdr:rowOff>89054</xdr:rowOff>
    </xdr:to>
    <xdr:grpSp>
      <xdr:nvGrpSpPr>
        <xdr:cNvPr id="21" name="Group 20">
          <a:extLst>
            <a:ext uri="{FF2B5EF4-FFF2-40B4-BE49-F238E27FC236}">
              <a16:creationId xmlns:a16="http://schemas.microsoft.com/office/drawing/2014/main" id="{FE4C8B81-7B04-3381-2C91-9913BB6F8CAF}"/>
            </a:ext>
          </a:extLst>
        </xdr:cNvPr>
        <xdr:cNvGrpSpPr/>
      </xdr:nvGrpSpPr>
      <xdr:grpSpPr>
        <a:xfrm>
          <a:off x="6038" y="8846643"/>
          <a:ext cx="1707169" cy="481661"/>
          <a:chOff x="6283" y="8882925"/>
          <a:chExt cx="1725184" cy="479438"/>
        </a:xfrm>
      </xdr:grpSpPr>
      <xdr:sp macro="" textlink="">
        <xdr:nvSpPr>
          <xdr:cNvPr id="73" name="Rectangle: Rounded Corners 72">
            <a:extLst>
              <a:ext uri="{FF2B5EF4-FFF2-40B4-BE49-F238E27FC236}">
                <a16:creationId xmlns:a16="http://schemas.microsoft.com/office/drawing/2014/main" id="{FED5F537-C41F-3CD0-6C25-8900EEA4B5B9}"/>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4" name="TextBox 73">
            <a:hlinkClick xmlns:r="http://schemas.openxmlformats.org/officeDocument/2006/relationships" r:id="rId20"/>
            <a:extLst>
              <a:ext uri="{FF2B5EF4-FFF2-40B4-BE49-F238E27FC236}">
                <a16:creationId xmlns:a16="http://schemas.microsoft.com/office/drawing/2014/main" id="{A32BBD15-6275-85F4-4E2C-FCF4601CBD82}"/>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5" name="Oval 74">
            <a:extLst>
              <a:ext uri="{FF2B5EF4-FFF2-40B4-BE49-F238E27FC236}">
                <a16:creationId xmlns:a16="http://schemas.microsoft.com/office/drawing/2014/main" id="{048B17B0-8B12-3C40-4FB9-55DC9D6A2426}"/>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6" name="TextBox 75">
            <a:hlinkClick xmlns:r="http://schemas.openxmlformats.org/officeDocument/2006/relationships" r:id="rId20"/>
            <a:extLst>
              <a:ext uri="{FF2B5EF4-FFF2-40B4-BE49-F238E27FC236}">
                <a16:creationId xmlns:a16="http://schemas.microsoft.com/office/drawing/2014/main" id="{824AF38C-2A0B-185D-8E4C-FC9384BABCC8}"/>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25</xdr:row>
      <xdr:rowOff>55122</xdr:rowOff>
    </xdr:from>
    <xdr:to>
      <xdr:col>0</xdr:col>
      <xdr:colOff>1711774</xdr:colOff>
      <xdr:row>27</xdr:row>
      <xdr:rowOff>147392</xdr:rowOff>
    </xdr:to>
    <xdr:grpSp>
      <xdr:nvGrpSpPr>
        <xdr:cNvPr id="22" name="Group 21">
          <a:extLst>
            <a:ext uri="{FF2B5EF4-FFF2-40B4-BE49-F238E27FC236}">
              <a16:creationId xmlns:a16="http://schemas.microsoft.com/office/drawing/2014/main" id="{06917202-F412-E7B2-6A4E-F85ADE5FFAE7}"/>
            </a:ext>
          </a:extLst>
        </xdr:cNvPr>
        <xdr:cNvGrpSpPr/>
      </xdr:nvGrpSpPr>
      <xdr:grpSpPr>
        <a:xfrm>
          <a:off x="4605" y="9846822"/>
          <a:ext cx="1707169" cy="460570"/>
          <a:chOff x="4792" y="9884285"/>
          <a:chExt cx="1725184" cy="459044"/>
        </a:xfrm>
      </xdr:grpSpPr>
      <xdr:sp macro="" textlink="">
        <xdr:nvSpPr>
          <xdr:cNvPr id="69" name="Rectangle: Rounded Corners 68">
            <a:extLst>
              <a:ext uri="{FF2B5EF4-FFF2-40B4-BE49-F238E27FC236}">
                <a16:creationId xmlns:a16="http://schemas.microsoft.com/office/drawing/2014/main" id="{A57F5310-82D3-E12C-9466-F29ADDCF97CA}"/>
              </a:ext>
            </a:extLst>
          </xdr:cNvPr>
          <xdr:cNvSpPr/>
        </xdr:nvSpPr>
        <xdr:spPr>
          <a:xfrm>
            <a:off x="4792" y="9890528"/>
            <a:ext cx="1709047" cy="452620"/>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0" name="TextBox 69">
            <a:hlinkClick xmlns:r="http://schemas.openxmlformats.org/officeDocument/2006/relationships" r:id="rId21"/>
            <a:extLst>
              <a:ext uri="{FF2B5EF4-FFF2-40B4-BE49-F238E27FC236}">
                <a16:creationId xmlns:a16="http://schemas.microsoft.com/office/drawing/2014/main" id="{61D58D51-F9A4-10FC-9F2F-B217BA87D810}"/>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71" name="Oval 70">
            <a:extLst>
              <a:ext uri="{FF2B5EF4-FFF2-40B4-BE49-F238E27FC236}">
                <a16:creationId xmlns:a16="http://schemas.microsoft.com/office/drawing/2014/main" id="{5E664AE2-62E7-40D9-D467-777AEB884EDE}"/>
              </a:ext>
            </a:extLst>
          </xdr:cNvPr>
          <xdr:cNvSpPr/>
        </xdr:nvSpPr>
        <xdr:spPr>
          <a:xfrm>
            <a:off x="99378" y="9968435"/>
            <a:ext cx="286142" cy="296001"/>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2" name="TextBox 71">
            <a:hlinkClick xmlns:r="http://schemas.openxmlformats.org/officeDocument/2006/relationships" r:id="rId21"/>
            <a:extLst>
              <a:ext uri="{FF2B5EF4-FFF2-40B4-BE49-F238E27FC236}">
                <a16:creationId xmlns:a16="http://schemas.microsoft.com/office/drawing/2014/main" id="{E7559D18-8482-33B3-683B-EBE2794788AF}"/>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Diesel Emission</a:t>
            </a:r>
          </a:p>
        </xdr:txBody>
      </xdr:sp>
    </xdr:grpSp>
    <xdr:clientData/>
  </xdr:twoCellAnchor>
  <xdr:twoCellAnchor>
    <xdr:from>
      <xdr:col>0</xdr:col>
      <xdr:colOff>5368</xdr:colOff>
      <xdr:row>22</xdr:row>
      <xdr:rowOff>106809</xdr:rowOff>
    </xdr:from>
    <xdr:to>
      <xdr:col>0</xdr:col>
      <xdr:colOff>1712537</xdr:colOff>
      <xdr:row>25</xdr:row>
      <xdr:rowOff>31153</xdr:rowOff>
    </xdr:to>
    <xdr:grpSp>
      <xdr:nvGrpSpPr>
        <xdr:cNvPr id="23" name="Group 22">
          <a:extLst>
            <a:ext uri="{FF2B5EF4-FFF2-40B4-BE49-F238E27FC236}">
              <a16:creationId xmlns:a16="http://schemas.microsoft.com/office/drawing/2014/main" id="{412AB7D0-B767-C9EF-0F34-9616243AF8D8}"/>
            </a:ext>
          </a:extLst>
        </xdr:cNvPr>
        <xdr:cNvGrpSpPr/>
      </xdr:nvGrpSpPr>
      <xdr:grpSpPr>
        <a:xfrm>
          <a:off x="5368" y="9346059"/>
          <a:ext cx="1707169" cy="476794"/>
          <a:chOff x="5586" y="9379532"/>
          <a:chExt cx="1725184" cy="481576"/>
        </a:xfrm>
      </xdr:grpSpPr>
      <xdr:sp macro="" textlink="">
        <xdr:nvSpPr>
          <xdr:cNvPr id="65" name="Rectangle: Rounded Corners 64">
            <a:extLst>
              <a:ext uri="{FF2B5EF4-FFF2-40B4-BE49-F238E27FC236}">
                <a16:creationId xmlns:a16="http://schemas.microsoft.com/office/drawing/2014/main" id="{AAF77D17-D348-EE31-5397-0D473BC17D6A}"/>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6" name="TextBox 65">
            <a:hlinkClick xmlns:r="http://schemas.openxmlformats.org/officeDocument/2006/relationships" r:id="rId22"/>
            <a:extLst>
              <a:ext uri="{FF2B5EF4-FFF2-40B4-BE49-F238E27FC236}">
                <a16:creationId xmlns:a16="http://schemas.microsoft.com/office/drawing/2014/main" id="{A6C41832-EA47-0F77-D8DF-E712D195976A}"/>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7" name="Oval 66">
            <a:extLst>
              <a:ext uri="{FF2B5EF4-FFF2-40B4-BE49-F238E27FC236}">
                <a16:creationId xmlns:a16="http://schemas.microsoft.com/office/drawing/2014/main" id="{4ADCF33E-229F-945E-91FC-C3FBC995D26B}"/>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8" name="TextBox 67">
            <a:hlinkClick xmlns:r="http://schemas.openxmlformats.org/officeDocument/2006/relationships" r:id="rId22"/>
            <a:extLst>
              <a:ext uri="{FF2B5EF4-FFF2-40B4-BE49-F238E27FC236}">
                <a16:creationId xmlns:a16="http://schemas.microsoft.com/office/drawing/2014/main" id="{409345C0-9ED1-B86D-4D8E-28080988579B}"/>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27</xdr:row>
      <xdr:rowOff>155684</xdr:rowOff>
    </xdr:from>
    <xdr:to>
      <xdr:col>0</xdr:col>
      <xdr:colOff>1711005</xdr:colOff>
      <xdr:row>30</xdr:row>
      <xdr:rowOff>92172</xdr:rowOff>
    </xdr:to>
    <xdr:grpSp>
      <xdr:nvGrpSpPr>
        <xdr:cNvPr id="24" name="Group 23">
          <a:extLst>
            <a:ext uri="{FF2B5EF4-FFF2-40B4-BE49-F238E27FC236}">
              <a16:creationId xmlns:a16="http://schemas.microsoft.com/office/drawing/2014/main" id="{C7F47B1C-8D42-E322-A3F7-73A929EE097C}"/>
            </a:ext>
          </a:extLst>
        </xdr:cNvPr>
        <xdr:cNvGrpSpPr/>
      </xdr:nvGrpSpPr>
      <xdr:grpSpPr>
        <a:xfrm>
          <a:off x="3836" y="10315684"/>
          <a:ext cx="1707169" cy="488938"/>
          <a:chOff x="3992" y="10358190"/>
          <a:chExt cx="1725184" cy="486476"/>
        </a:xfrm>
      </xdr:grpSpPr>
      <xdr:sp macro="" textlink="">
        <xdr:nvSpPr>
          <xdr:cNvPr id="61" name="Rectangle: Rounded Corners 60">
            <a:extLst>
              <a:ext uri="{FF2B5EF4-FFF2-40B4-BE49-F238E27FC236}">
                <a16:creationId xmlns:a16="http://schemas.microsoft.com/office/drawing/2014/main" id="{D892FDAD-D978-8396-E91C-B2E30169775D}"/>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2" name="TextBox 61">
            <a:hlinkClick xmlns:r="http://schemas.openxmlformats.org/officeDocument/2006/relationships" r:id="rId23"/>
            <a:extLst>
              <a:ext uri="{FF2B5EF4-FFF2-40B4-BE49-F238E27FC236}">
                <a16:creationId xmlns:a16="http://schemas.microsoft.com/office/drawing/2014/main" id="{1A81F318-BCB4-BD10-0B99-B11FAEEB659A}"/>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3" name="Oval 62">
            <a:extLst>
              <a:ext uri="{FF2B5EF4-FFF2-40B4-BE49-F238E27FC236}">
                <a16:creationId xmlns:a16="http://schemas.microsoft.com/office/drawing/2014/main" id="{D688E0DC-66AA-9EE3-30E1-40ED5AB5D125}"/>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4" name="TextBox 63">
            <a:hlinkClick xmlns:r="http://schemas.openxmlformats.org/officeDocument/2006/relationships" r:id="rId23"/>
            <a:extLst>
              <a:ext uri="{FF2B5EF4-FFF2-40B4-BE49-F238E27FC236}">
                <a16:creationId xmlns:a16="http://schemas.microsoft.com/office/drawing/2014/main" id="{A83820AC-DBA3-83BC-35F5-7C2EC7277F60}"/>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30</xdr:row>
      <xdr:rowOff>109268</xdr:rowOff>
    </xdr:from>
    <xdr:to>
      <xdr:col>0</xdr:col>
      <xdr:colOff>1712668</xdr:colOff>
      <xdr:row>33</xdr:row>
      <xdr:rowOff>6592</xdr:rowOff>
    </xdr:to>
    <xdr:grpSp>
      <xdr:nvGrpSpPr>
        <xdr:cNvPr id="26" name="Group 25">
          <a:extLst>
            <a:ext uri="{FF2B5EF4-FFF2-40B4-BE49-F238E27FC236}">
              <a16:creationId xmlns:a16="http://schemas.microsoft.com/office/drawing/2014/main" id="{74AB5897-B8D1-6C47-0EDB-6E5B85F97CF6}"/>
            </a:ext>
          </a:extLst>
        </xdr:cNvPr>
        <xdr:cNvGrpSpPr/>
      </xdr:nvGrpSpPr>
      <xdr:grpSpPr>
        <a:xfrm>
          <a:off x="5499" y="10821718"/>
          <a:ext cx="1707169" cy="449774"/>
          <a:chOff x="5723" y="10874564"/>
          <a:chExt cx="1725184" cy="455447"/>
        </a:xfrm>
      </xdr:grpSpPr>
      <xdr:sp macro="" textlink="">
        <xdr:nvSpPr>
          <xdr:cNvPr id="53" name="Rectangle: Rounded Corners 52">
            <a:extLst>
              <a:ext uri="{FF2B5EF4-FFF2-40B4-BE49-F238E27FC236}">
                <a16:creationId xmlns:a16="http://schemas.microsoft.com/office/drawing/2014/main" id="{9BF9CA81-64A2-D970-B227-C1B68F966D98}"/>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4" name="TextBox 53">
            <a:hlinkClick xmlns:r="http://schemas.openxmlformats.org/officeDocument/2006/relationships" r:id="rId24"/>
            <a:extLst>
              <a:ext uri="{FF2B5EF4-FFF2-40B4-BE49-F238E27FC236}">
                <a16:creationId xmlns:a16="http://schemas.microsoft.com/office/drawing/2014/main" id="{32E5E07D-EEC1-31BD-8E70-C0CA1886EA4A}"/>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5" name="Oval 54">
            <a:extLst>
              <a:ext uri="{FF2B5EF4-FFF2-40B4-BE49-F238E27FC236}">
                <a16:creationId xmlns:a16="http://schemas.microsoft.com/office/drawing/2014/main" id="{350FAE2D-B86A-CDE4-1AF2-32478FFE4A09}"/>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6" name="TextBox 55">
            <a:hlinkClick xmlns:r="http://schemas.openxmlformats.org/officeDocument/2006/relationships" r:id="rId24"/>
            <a:extLst>
              <a:ext uri="{FF2B5EF4-FFF2-40B4-BE49-F238E27FC236}">
                <a16:creationId xmlns:a16="http://schemas.microsoft.com/office/drawing/2014/main" id="{9C819EC5-ED0E-5A51-3143-9EAD5CD810C4}"/>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33</xdr:row>
      <xdr:rowOff>25190</xdr:rowOff>
    </xdr:from>
    <xdr:to>
      <xdr:col>0</xdr:col>
      <xdr:colOff>1711471</xdr:colOff>
      <xdr:row>35</xdr:row>
      <xdr:rowOff>139144</xdr:rowOff>
    </xdr:to>
    <xdr:grpSp>
      <xdr:nvGrpSpPr>
        <xdr:cNvPr id="27" name="Group 26">
          <a:extLst>
            <a:ext uri="{FF2B5EF4-FFF2-40B4-BE49-F238E27FC236}">
              <a16:creationId xmlns:a16="http://schemas.microsoft.com/office/drawing/2014/main" id="{6DE6108B-045B-6C4E-106B-A710C2A9773C}"/>
            </a:ext>
          </a:extLst>
        </xdr:cNvPr>
        <xdr:cNvGrpSpPr/>
      </xdr:nvGrpSpPr>
      <xdr:grpSpPr>
        <a:xfrm>
          <a:off x="4302" y="11290090"/>
          <a:ext cx="1707169" cy="482254"/>
          <a:chOff x="4477" y="11347997"/>
          <a:chExt cx="1725184" cy="480012"/>
        </a:xfrm>
      </xdr:grpSpPr>
      <xdr:sp macro="" textlink="">
        <xdr:nvSpPr>
          <xdr:cNvPr id="49" name="Rectangle: Rounded Corners 48">
            <a:extLst>
              <a:ext uri="{FF2B5EF4-FFF2-40B4-BE49-F238E27FC236}">
                <a16:creationId xmlns:a16="http://schemas.microsoft.com/office/drawing/2014/main" id="{20E9BAB3-659E-8BC9-479C-E586E0A9C995}"/>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0" name="TextBox 49">
            <a:hlinkClick xmlns:r="http://schemas.openxmlformats.org/officeDocument/2006/relationships" r:id="rId25"/>
            <a:extLst>
              <a:ext uri="{FF2B5EF4-FFF2-40B4-BE49-F238E27FC236}">
                <a16:creationId xmlns:a16="http://schemas.microsoft.com/office/drawing/2014/main" id="{C05FF0B8-DF2A-9170-BA29-6B3077DE0CB3}"/>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1" name="Oval 50">
            <a:extLst>
              <a:ext uri="{FF2B5EF4-FFF2-40B4-BE49-F238E27FC236}">
                <a16:creationId xmlns:a16="http://schemas.microsoft.com/office/drawing/2014/main" id="{65DDCFA4-AFFD-EEC9-72DC-9063D639B461}"/>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2" name="TextBox 51">
            <a:hlinkClick xmlns:r="http://schemas.openxmlformats.org/officeDocument/2006/relationships" r:id="rId25"/>
            <a:extLst>
              <a:ext uri="{FF2B5EF4-FFF2-40B4-BE49-F238E27FC236}">
                <a16:creationId xmlns:a16="http://schemas.microsoft.com/office/drawing/2014/main" id="{84E8EA01-50C9-7600-4CFD-78525A5DEFE0}"/>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13</xdr:row>
      <xdr:rowOff>405236</xdr:rowOff>
    </xdr:from>
    <xdr:to>
      <xdr:col>0</xdr:col>
      <xdr:colOff>1707169</xdr:colOff>
      <xdr:row>14</xdr:row>
      <xdr:rowOff>332020</xdr:rowOff>
    </xdr:to>
    <xdr:grpSp>
      <xdr:nvGrpSpPr>
        <xdr:cNvPr id="28" name="Group 27">
          <a:extLst>
            <a:ext uri="{FF2B5EF4-FFF2-40B4-BE49-F238E27FC236}">
              <a16:creationId xmlns:a16="http://schemas.microsoft.com/office/drawing/2014/main" id="{FB255562-AD38-0B22-7D60-4D3398FA36E0}"/>
            </a:ext>
          </a:extLst>
        </xdr:cNvPr>
        <xdr:cNvGrpSpPr/>
      </xdr:nvGrpSpPr>
      <xdr:grpSpPr>
        <a:xfrm>
          <a:off x="0" y="6882236"/>
          <a:ext cx="1707169" cy="479234"/>
          <a:chOff x="0" y="6922179"/>
          <a:chExt cx="1725184" cy="482848"/>
        </a:xfrm>
      </xdr:grpSpPr>
      <xdr:sp macro="" textlink="">
        <xdr:nvSpPr>
          <xdr:cNvPr id="45" name="Rectangle: Rounded Corners 44">
            <a:extLst>
              <a:ext uri="{FF2B5EF4-FFF2-40B4-BE49-F238E27FC236}">
                <a16:creationId xmlns:a16="http://schemas.microsoft.com/office/drawing/2014/main" id="{3F0FD9F1-8D35-D36B-7EC1-ECC15C4EB146}"/>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6" name="TextBox 45">
            <a:hlinkClick xmlns:r="http://schemas.openxmlformats.org/officeDocument/2006/relationships" r:id="rId16"/>
            <a:extLst>
              <a:ext uri="{FF2B5EF4-FFF2-40B4-BE49-F238E27FC236}">
                <a16:creationId xmlns:a16="http://schemas.microsoft.com/office/drawing/2014/main" id="{3907DAA3-8C44-F487-4951-271D4FBB3A18}"/>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7" name="Oval 46">
            <a:extLst>
              <a:ext uri="{FF2B5EF4-FFF2-40B4-BE49-F238E27FC236}">
                <a16:creationId xmlns:a16="http://schemas.microsoft.com/office/drawing/2014/main" id="{4933A371-B98A-3692-93F4-49695C47EA2D}"/>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8" name="TextBox 47">
            <a:hlinkClick xmlns:r="http://schemas.openxmlformats.org/officeDocument/2006/relationships" r:id="rId26"/>
            <a:extLst>
              <a:ext uri="{FF2B5EF4-FFF2-40B4-BE49-F238E27FC236}">
                <a16:creationId xmlns:a16="http://schemas.microsoft.com/office/drawing/2014/main" id="{B5F34E2E-74FE-5A62-CD40-0B936BB04C0D}"/>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35</xdr:row>
      <xdr:rowOff>151529</xdr:rowOff>
    </xdr:from>
    <xdr:to>
      <xdr:col>0</xdr:col>
      <xdr:colOff>1711953</xdr:colOff>
      <xdr:row>38</xdr:row>
      <xdr:rowOff>81333</xdr:rowOff>
    </xdr:to>
    <xdr:grpSp>
      <xdr:nvGrpSpPr>
        <xdr:cNvPr id="31" name="Group 30">
          <a:extLst>
            <a:ext uri="{FF2B5EF4-FFF2-40B4-BE49-F238E27FC236}">
              <a16:creationId xmlns:a16="http://schemas.microsoft.com/office/drawing/2014/main" id="{9B339526-E63E-E37B-F88A-95B63124DE6A}"/>
            </a:ext>
          </a:extLst>
        </xdr:cNvPr>
        <xdr:cNvGrpSpPr/>
      </xdr:nvGrpSpPr>
      <xdr:grpSpPr>
        <a:xfrm>
          <a:off x="5742" y="11784729"/>
          <a:ext cx="1706211" cy="482254"/>
          <a:chOff x="4477" y="11347997"/>
          <a:chExt cx="1725184" cy="480012"/>
        </a:xfrm>
      </xdr:grpSpPr>
      <xdr:sp macro="" textlink="">
        <xdr:nvSpPr>
          <xdr:cNvPr id="37" name="Rectangle: Rounded Corners 36">
            <a:extLst>
              <a:ext uri="{FF2B5EF4-FFF2-40B4-BE49-F238E27FC236}">
                <a16:creationId xmlns:a16="http://schemas.microsoft.com/office/drawing/2014/main" id="{C43AD148-26E5-2B31-50B2-20FD9AEF9B38}"/>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8" name="TextBox 37">
            <a:hlinkClick xmlns:r="http://schemas.openxmlformats.org/officeDocument/2006/relationships" r:id="rId27"/>
            <a:extLst>
              <a:ext uri="{FF2B5EF4-FFF2-40B4-BE49-F238E27FC236}">
                <a16:creationId xmlns:a16="http://schemas.microsoft.com/office/drawing/2014/main" id="{1BC983B8-09BB-E04F-689E-1593C61CAFB7}"/>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9" name="Oval 38">
            <a:extLst>
              <a:ext uri="{FF2B5EF4-FFF2-40B4-BE49-F238E27FC236}">
                <a16:creationId xmlns:a16="http://schemas.microsoft.com/office/drawing/2014/main" id="{76B15F3E-01EB-DA60-4C4D-C65DFF578A3F}"/>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0" name="TextBox 39">
            <a:hlinkClick xmlns:r="http://schemas.openxmlformats.org/officeDocument/2006/relationships" r:id="rId27"/>
            <a:extLst>
              <a:ext uri="{FF2B5EF4-FFF2-40B4-BE49-F238E27FC236}">
                <a16:creationId xmlns:a16="http://schemas.microsoft.com/office/drawing/2014/main" id="{A41880E2-9044-B13F-FC28-6107E866C09B}"/>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CE9D8667-913F-4D37-84F1-0190AC417FD9}"/>
            </a:ext>
          </a:extLst>
        </xdr:cNvPr>
        <xdr:cNvGrpSpPr/>
      </xdr:nvGrpSpPr>
      <xdr:grpSpPr>
        <a:xfrm>
          <a:off x="95885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16E17D5B-901F-6129-8F86-0B92CD7CCEEB}"/>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998655ED-8654-2470-5346-890D06D38B63}"/>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38</xdr:row>
      <xdr:rowOff>95250</xdr:rowOff>
    </xdr:from>
    <xdr:to>
      <xdr:col>0</xdr:col>
      <xdr:colOff>1713549</xdr:colOff>
      <xdr:row>50</xdr:row>
      <xdr:rowOff>118484</xdr:rowOff>
    </xdr:to>
    <xdr:grpSp>
      <xdr:nvGrpSpPr>
        <xdr:cNvPr id="163" name="Group 162">
          <a:extLst>
            <a:ext uri="{FF2B5EF4-FFF2-40B4-BE49-F238E27FC236}">
              <a16:creationId xmlns:a16="http://schemas.microsoft.com/office/drawing/2014/main" id="{7AD923A0-26AC-463C-B8FD-F733580658E6}"/>
            </a:ext>
          </a:extLst>
        </xdr:cNvPr>
        <xdr:cNvGrpSpPr/>
      </xdr:nvGrpSpPr>
      <xdr:grpSpPr>
        <a:xfrm>
          <a:off x="0" y="12280900"/>
          <a:ext cx="1713549" cy="2233034"/>
          <a:chOff x="5137727" y="13144500"/>
          <a:chExt cx="1713549" cy="2252946"/>
        </a:xfrm>
      </xdr:grpSpPr>
      <xdr:grpSp>
        <xdr:nvGrpSpPr>
          <xdr:cNvPr id="164" name="Group 163">
            <a:extLst>
              <a:ext uri="{FF2B5EF4-FFF2-40B4-BE49-F238E27FC236}">
                <a16:creationId xmlns:a16="http://schemas.microsoft.com/office/drawing/2014/main" id="{ACA1990A-7783-8E66-59E9-EDB53E717B22}"/>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C39B5E3C-5640-625C-80AA-C52BD1A46FBE}"/>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43FEFA43-A0F4-99E5-982C-519812AD0BCE}"/>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0D9CA626-3F8F-4C28-D9A9-F3CA81BA1582}"/>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DE1059AE-F273-5647-6CEB-0FF6DB045803}"/>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533F7AEF-A578-5BD2-AA72-65ADF09E1D0A}"/>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43EDD92C-C66F-DB70-B4AB-049131A395BC}"/>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03EFB920-5526-35E4-36A0-C94EC6E83602}"/>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202F3D1A-C68C-12E0-B439-A86661E96035}"/>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BFF99A50-6D0D-59C5-6702-005653508264}"/>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414C3C33-B6AA-215E-F1CC-246A8CF0602A}"/>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6E3B9D38-71D7-B0DD-376A-54128E7D070B}"/>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46FABA7A-C8B3-C86B-9ED5-519FFA21AA16}"/>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C5B028B0-AB97-E82F-4748-29ED18B0D7C7}"/>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2DA6F7E5-2671-19A6-DD00-668D3B5DF159}"/>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E78F6F26-D8B1-0066-2EB0-C3829ECDBC99}"/>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05B43894-4A34-1C63-D991-74F31F9F4A46}"/>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C5936C5B-6433-7987-246B-125E95258A2A}"/>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DDA67FE3-AD19-2F4E-C7B1-8DE00E31FF85}"/>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05091189-CFB8-7AEA-5814-53678906C3A3}"/>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B7E88B9D-D1CD-5A7A-A33F-612683374A43}"/>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47</xdr:row>
      <xdr:rowOff>171450</xdr:rowOff>
    </xdr:to>
    <xdr:sp macro="" textlink="">
      <xdr:nvSpPr>
        <xdr:cNvPr id="4" name="Rectangle: Rounded Corners 3">
          <a:extLst>
            <a:ext uri="{FF2B5EF4-FFF2-40B4-BE49-F238E27FC236}">
              <a16:creationId xmlns:a16="http://schemas.microsoft.com/office/drawing/2014/main" id="{5C5C5D7F-FD84-B99E-26FB-B762EB218B4D}"/>
            </a:ext>
          </a:extLst>
        </xdr:cNvPr>
        <xdr:cNvSpPr/>
      </xdr:nvSpPr>
      <xdr:spPr>
        <a:xfrm>
          <a:off x="0" y="0"/>
          <a:ext cx="1841776" cy="149352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940D137D-3C79-3BBF-051C-E794299FB1BD}"/>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A218F0A4-93C7-0046-7641-107223AE8169}"/>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4B81EACE-E9D5-7758-11F1-2FFF5B7B9076}"/>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6B21B21C-7F33-E214-BAA3-0BC1D7D54033}"/>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82A472C0-5F56-A4A8-632C-5505099B556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DB37F493-21A5-0648-EF75-CC2F43BC5953}"/>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ED557449-BD00-CD8D-8D43-473BD7D5C17B}"/>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D3F8581E-D0E8-CD23-ED14-8798A689E6CF}"/>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3BBE3267-957D-D716-C9AF-95F590F53677}"/>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46539</xdr:rowOff>
    </xdr:from>
    <xdr:to>
      <xdr:col>0</xdr:col>
      <xdr:colOff>1717958</xdr:colOff>
      <xdr:row>5</xdr:row>
      <xdr:rowOff>494351</xdr:rowOff>
    </xdr:to>
    <xdr:grpSp>
      <xdr:nvGrpSpPr>
        <xdr:cNvPr id="8" name="Group 7">
          <a:extLst>
            <a:ext uri="{FF2B5EF4-FFF2-40B4-BE49-F238E27FC236}">
              <a16:creationId xmlns:a16="http://schemas.microsoft.com/office/drawing/2014/main" id="{97795C6A-5974-BAD5-8D24-15E95C173827}"/>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104B11DC-3B10-85DC-8AC2-5D23F7C3D26D}"/>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44BFFD3F-E9ED-267C-0C40-C5250C54CC91}"/>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BC6A483C-1695-C67D-23E8-F11F34482365}"/>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516002</xdr:rowOff>
    </xdr:from>
    <xdr:to>
      <xdr:col>0</xdr:col>
      <xdr:colOff>1715516</xdr:colOff>
      <xdr:row>6</xdr:row>
      <xdr:rowOff>409527</xdr:rowOff>
    </xdr:to>
    <xdr:grpSp>
      <xdr:nvGrpSpPr>
        <xdr:cNvPr id="9" name="Group 8">
          <a:extLst>
            <a:ext uri="{FF2B5EF4-FFF2-40B4-BE49-F238E27FC236}">
              <a16:creationId xmlns:a16="http://schemas.microsoft.com/office/drawing/2014/main" id="{A30EE9A8-EDE6-A5DD-925D-34A7546C368C}"/>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5A718B6A-F84E-DC26-F275-9B77320AFB5F}"/>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8A55EB4D-E421-6FED-DF75-2875F757EBAF}"/>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DAC81D0E-2EF2-92FC-1E24-304527CD664A}"/>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423806</xdr:rowOff>
    </xdr:from>
    <xdr:to>
      <xdr:col>0</xdr:col>
      <xdr:colOff>1713076</xdr:colOff>
      <xdr:row>7</xdr:row>
      <xdr:rowOff>330202</xdr:rowOff>
    </xdr:to>
    <xdr:grpSp>
      <xdr:nvGrpSpPr>
        <xdr:cNvPr id="10" name="Group 9">
          <a:extLst>
            <a:ext uri="{FF2B5EF4-FFF2-40B4-BE49-F238E27FC236}">
              <a16:creationId xmlns:a16="http://schemas.microsoft.com/office/drawing/2014/main" id="{56A1F916-5458-A1DB-261E-BEEEDA5BBA5C}"/>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AFB3E59C-1130-C12B-0DC0-946D7F1F4554}"/>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DE3A7FD2-1DF6-BD40-CD9A-F8172E05BD17}"/>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B2456A07-0CFC-CA9C-F6DD-EEE91DB361AE}"/>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46FD8808-C95B-8D52-20EE-F6A779FBA71D}"/>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25914</xdr:rowOff>
    </xdr:to>
    <xdr:grpSp>
      <xdr:nvGrpSpPr>
        <xdr:cNvPr id="11" name="Group 10">
          <a:extLst>
            <a:ext uri="{FF2B5EF4-FFF2-40B4-BE49-F238E27FC236}">
              <a16:creationId xmlns:a16="http://schemas.microsoft.com/office/drawing/2014/main" id="{3116953C-48F9-B1C6-5561-A64CABAEC673}"/>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3FCAE23C-C1BB-239C-8FE5-8968BF4BE445}"/>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87D1FB23-281F-1C87-ACEB-D71A47281E86}"/>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90D489D0-AB18-4550-0C4A-4380EC151280}"/>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343386</xdr:rowOff>
    </xdr:from>
    <xdr:to>
      <xdr:col>0</xdr:col>
      <xdr:colOff>1713094</xdr:colOff>
      <xdr:row>8</xdr:row>
      <xdr:rowOff>458605</xdr:rowOff>
    </xdr:to>
    <xdr:grpSp>
      <xdr:nvGrpSpPr>
        <xdr:cNvPr id="12" name="Group 11">
          <a:extLst>
            <a:ext uri="{FF2B5EF4-FFF2-40B4-BE49-F238E27FC236}">
              <a16:creationId xmlns:a16="http://schemas.microsoft.com/office/drawing/2014/main" id="{175C0BD0-D8CB-EE28-38F6-7432A9FF6357}"/>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0E9E6085-1BB0-D17B-221C-C4AB0EB6A110}"/>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6C1B7263-6907-F497-E10C-67605E3CCDA7}"/>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163046AE-3FA5-8350-FE2E-BBB3DC357460}"/>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335AA17E-E3CB-301F-215A-A64C390AD036}"/>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471403</xdr:rowOff>
    </xdr:from>
    <xdr:to>
      <xdr:col>0</xdr:col>
      <xdr:colOff>1713246</xdr:colOff>
      <xdr:row>9</xdr:row>
      <xdr:rowOff>196610</xdr:rowOff>
    </xdr:to>
    <xdr:grpSp>
      <xdr:nvGrpSpPr>
        <xdr:cNvPr id="13" name="Group 12">
          <a:extLst>
            <a:ext uri="{FF2B5EF4-FFF2-40B4-BE49-F238E27FC236}">
              <a16:creationId xmlns:a16="http://schemas.microsoft.com/office/drawing/2014/main" id="{79D259ED-A41B-B188-D80B-69535283F0B2}"/>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20BB93DA-BFA9-CC3D-9274-02A69FDA4CB7}"/>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E4974797-A872-D348-51C7-E8320EC522B5}"/>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F24D00FE-7DA8-14CF-7CB1-2F3C9F685EE1}"/>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98B6D1BD-6DFF-C6FE-A756-7C2E74CEA524}"/>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9</xdr:row>
      <xdr:rowOff>213840</xdr:rowOff>
    </xdr:from>
    <xdr:to>
      <xdr:col>0</xdr:col>
      <xdr:colOff>1709917</xdr:colOff>
      <xdr:row>9</xdr:row>
      <xdr:rowOff>708458</xdr:rowOff>
    </xdr:to>
    <xdr:grpSp>
      <xdr:nvGrpSpPr>
        <xdr:cNvPr id="14" name="Group 13">
          <a:extLst>
            <a:ext uri="{FF2B5EF4-FFF2-40B4-BE49-F238E27FC236}">
              <a16:creationId xmlns:a16="http://schemas.microsoft.com/office/drawing/2014/main" id="{58D0C4BA-5166-486C-579C-3EB970E2A49B}"/>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FFAB0D23-B9FF-8B3F-41F4-EDDF5BF51369}"/>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00C5D40E-B4E6-13E5-E64C-24B516DB8111}"/>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1900BE4F-960C-4518-0B97-33616CA58661}"/>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2E0989FB-3129-FBEC-3BC4-386606CAE028}"/>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730797</xdr:rowOff>
    </xdr:from>
    <xdr:to>
      <xdr:col>0</xdr:col>
      <xdr:colOff>1709302</xdr:colOff>
      <xdr:row>10</xdr:row>
      <xdr:rowOff>266381</xdr:rowOff>
    </xdr:to>
    <xdr:grpSp>
      <xdr:nvGrpSpPr>
        <xdr:cNvPr id="15" name="Group 14">
          <a:extLst>
            <a:ext uri="{FF2B5EF4-FFF2-40B4-BE49-F238E27FC236}">
              <a16:creationId xmlns:a16="http://schemas.microsoft.com/office/drawing/2014/main" id="{504697DB-94E3-7503-2D6F-703A9476808B}"/>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5B6A5360-3AC1-6417-882C-A3EFDADC5D78}"/>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BDAF1EFA-6024-D082-D972-C4AC3B7CF846}"/>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606690F5-CD32-29DA-FFE8-957DBED46CDD}"/>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0E078A6E-4A4B-DDBC-C77A-C00D0F44AD06}"/>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10</xdr:row>
      <xdr:rowOff>285298</xdr:rowOff>
    </xdr:from>
    <xdr:to>
      <xdr:col>0</xdr:col>
      <xdr:colOff>1709298</xdr:colOff>
      <xdr:row>11</xdr:row>
      <xdr:rowOff>222194</xdr:rowOff>
    </xdr:to>
    <xdr:grpSp>
      <xdr:nvGrpSpPr>
        <xdr:cNvPr id="16" name="Group 15">
          <a:extLst>
            <a:ext uri="{FF2B5EF4-FFF2-40B4-BE49-F238E27FC236}">
              <a16:creationId xmlns:a16="http://schemas.microsoft.com/office/drawing/2014/main" id="{4CEE881C-1609-6273-84CE-83D87EB825D5}"/>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427969CE-66B0-0BEF-65F1-7697DF373101}"/>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08A561AB-698E-01C5-59FB-D0B8D8B81F9B}"/>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7CDCD8FB-3B3E-BBCE-B40F-63FE77742337}"/>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F2E91376-82E3-7ED3-285F-7B4C34FC1B84}"/>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240049</xdr:rowOff>
    </xdr:from>
    <xdr:to>
      <xdr:col>0</xdr:col>
      <xdr:colOff>1709296</xdr:colOff>
      <xdr:row>12</xdr:row>
      <xdr:rowOff>182217</xdr:rowOff>
    </xdr:to>
    <xdr:grpSp>
      <xdr:nvGrpSpPr>
        <xdr:cNvPr id="17" name="Group 16">
          <a:extLst>
            <a:ext uri="{FF2B5EF4-FFF2-40B4-BE49-F238E27FC236}">
              <a16:creationId xmlns:a16="http://schemas.microsoft.com/office/drawing/2014/main" id="{2901E1DE-AACD-74D0-F3C8-17786228BA71}"/>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8DCFC230-7118-9649-6CE2-C6361D7CE3D1}"/>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F3DC915D-E800-71E2-2D44-A7591F38CA1F}"/>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3EC35E64-408B-F17D-BB34-6EF0BC731CBC}"/>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0F2C0416-0695-9B17-F100-6F51E815FD94}"/>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202007</xdr:rowOff>
    </xdr:from>
    <xdr:to>
      <xdr:col>0</xdr:col>
      <xdr:colOff>1708011</xdr:colOff>
      <xdr:row>13</xdr:row>
      <xdr:rowOff>106681</xdr:rowOff>
    </xdr:to>
    <xdr:grpSp>
      <xdr:nvGrpSpPr>
        <xdr:cNvPr id="18" name="Group 17">
          <a:extLst>
            <a:ext uri="{FF2B5EF4-FFF2-40B4-BE49-F238E27FC236}">
              <a16:creationId xmlns:a16="http://schemas.microsoft.com/office/drawing/2014/main" id="{9E93928A-48F6-B3C6-0F0E-60D032FF0E78}"/>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778DD295-8786-8783-EB37-5CE0B08F7B6F}"/>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A894D33C-EBD0-6982-8F33-3B3D0804CF4A}"/>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36E299C5-88F2-C23C-C6A2-FA2B8E9FDAD9}"/>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549662B2-8D2E-FF51-06F6-42CB41BF3FA4}"/>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14</xdr:row>
      <xdr:rowOff>82193</xdr:rowOff>
    </xdr:from>
    <xdr:to>
      <xdr:col>0</xdr:col>
      <xdr:colOff>1708946</xdr:colOff>
      <xdr:row>14</xdr:row>
      <xdr:rowOff>547436</xdr:rowOff>
    </xdr:to>
    <xdr:grpSp>
      <xdr:nvGrpSpPr>
        <xdr:cNvPr id="19" name="Group 18">
          <a:extLst>
            <a:ext uri="{FF2B5EF4-FFF2-40B4-BE49-F238E27FC236}">
              <a16:creationId xmlns:a16="http://schemas.microsoft.com/office/drawing/2014/main" id="{87895D31-71BD-58D2-148C-9AE45CB73B23}"/>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C72ED0D7-7488-77C6-85ED-CC494F4E3F13}"/>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D570F9DC-EA24-7EF5-AEAD-03DAA3D79A81}"/>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5387844E-7466-11A6-9714-CC26A951331F}"/>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6EFC78E9-F56A-42CB-8209-FFB745A2B407}"/>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15</xdr:row>
      <xdr:rowOff>22534</xdr:rowOff>
    </xdr:from>
    <xdr:to>
      <xdr:col>0</xdr:col>
      <xdr:colOff>1710873</xdr:colOff>
      <xdr:row>16</xdr:row>
      <xdr:rowOff>142679</xdr:rowOff>
    </xdr:to>
    <xdr:grpSp>
      <xdr:nvGrpSpPr>
        <xdr:cNvPr id="20" name="Group 19">
          <a:extLst>
            <a:ext uri="{FF2B5EF4-FFF2-40B4-BE49-F238E27FC236}">
              <a16:creationId xmlns:a16="http://schemas.microsoft.com/office/drawing/2014/main" id="{75B5E2BC-B9C1-9BA9-AC4D-CFE930B36173}"/>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E9A195D3-8215-9E73-7AF0-DD57DE644887}"/>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15E8122C-77DD-028B-3C60-299D60F39C85}"/>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4603C7B8-7815-E47E-C968-7321E964EB84}"/>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8259D22D-9B22-7C1B-4E6C-F31C97319B56}"/>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16</xdr:row>
      <xdr:rowOff>166785</xdr:rowOff>
    </xdr:from>
    <xdr:to>
      <xdr:col>0</xdr:col>
      <xdr:colOff>1712157</xdr:colOff>
      <xdr:row>17</xdr:row>
      <xdr:rowOff>77067</xdr:rowOff>
    </xdr:to>
    <xdr:grpSp>
      <xdr:nvGrpSpPr>
        <xdr:cNvPr id="21" name="Group 20">
          <a:extLst>
            <a:ext uri="{FF2B5EF4-FFF2-40B4-BE49-F238E27FC236}">
              <a16:creationId xmlns:a16="http://schemas.microsoft.com/office/drawing/2014/main" id="{F6D5420B-BFBF-EBE7-FC54-73A1DE6A1837}"/>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7AB9F92C-ECB4-8210-5A68-59273DE55649}"/>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4B11D8FB-815C-D6DA-27B0-52BA14210ED5}"/>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B5699904-A178-B2BC-3A16-1E1FD1631090}"/>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C870E716-EE59-4105-6C6A-3237EECE16CA}"/>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17</xdr:row>
      <xdr:rowOff>89855</xdr:rowOff>
    </xdr:from>
    <xdr:to>
      <xdr:col>0</xdr:col>
      <xdr:colOff>1713207</xdr:colOff>
      <xdr:row>18</xdr:row>
      <xdr:rowOff>25282</xdr:rowOff>
    </xdr:to>
    <xdr:grpSp>
      <xdr:nvGrpSpPr>
        <xdr:cNvPr id="22" name="Group 21">
          <a:extLst>
            <a:ext uri="{FF2B5EF4-FFF2-40B4-BE49-F238E27FC236}">
              <a16:creationId xmlns:a16="http://schemas.microsoft.com/office/drawing/2014/main" id="{510D7CA1-FF32-E351-1CED-915A0BD5F1B7}"/>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942C0AB8-5DE0-07F8-AA89-04A2EC5E0BC8}"/>
              </a:ext>
            </a:extLst>
          </xdr:cNvPr>
          <xdr:cNvSpPr/>
        </xdr:nvSpPr>
        <xdr:spPr>
          <a:xfrm>
            <a:off x="6283" y="8889447"/>
            <a:ext cx="1709047" cy="472728"/>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D1817D50-707B-50A1-AABC-F6FD9385E359}"/>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76" name="Oval 75">
            <a:extLst>
              <a:ext uri="{FF2B5EF4-FFF2-40B4-BE49-F238E27FC236}">
                <a16:creationId xmlns:a16="http://schemas.microsoft.com/office/drawing/2014/main" id="{095DB757-17D0-9050-41BD-F96499828C7D}"/>
              </a:ext>
            </a:extLst>
          </xdr:cNvPr>
          <xdr:cNvSpPr/>
        </xdr:nvSpPr>
        <xdr:spPr>
          <a:xfrm>
            <a:off x="100869" y="8970826"/>
            <a:ext cx="286142" cy="309129"/>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BA0EBD64-4571-A14A-0861-D907DD20FC68}"/>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Scheduled Waste</a:t>
            </a:r>
          </a:p>
        </xdr:txBody>
      </xdr:sp>
    </xdr:grpSp>
    <xdr:clientData/>
  </xdr:twoCellAnchor>
  <xdr:twoCellAnchor>
    <xdr:from>
      <xdr:col>0</xdr:col>
      <xdr:colOff>4605</xdr:colOff>
      <xdr:row>20</xdr:row>
      <xdr:rowOff>182190</xdr:rowOff>
    </xdr:from>
    <xdr:to>
      <xdr:col>0</xdr:col>
      <xdr:colOff>1711774</xdr:colOff>
      <xdr:row>23</xdr:row>
      <xdr:rowOff>96253</xdr:rowOff>
    </xdr:to>
    <xdr:grpSp>
      <xdr:nvGrpSpPr>
        <xdr:cNvPr id="23" name="Group 22">
          <a:extLst>
            <a:ext uri="{FF2B5EF4-FFF2-40B4-BE49-F238E27FC236}">
              <a16:creationId xmlns:a16="http://schemas.microsoft.com/office/drawing/2014/main" id="{009BE1BE-942D-4042-12D2-FB0EB4555379}"/>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3D607F7E-81D2-88D5-4196-BC93D353D29C}"/>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917C782A-1572-A7C2-1C3C-1CA9986CA9FD}"/>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2775BFE8-9C70-C0E7-43C3-042CB118F8B4}"/>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C48EFD67-0BAA-457C-CBC1-E1852510C5A9}"/>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18</xdr:row>
      <xdr:rowOff>43265</xdr:rowOff>
    </xdr:from>
    <xdr:to>
      <xdr:col>0</xdr:col>
      <xdr:colOff>1712537</xdr:colOff>
      <xdr:row>20</xdr:row>
      <xdr:rowOff>157911</xdr:rowOff>
    </xdr:to>
    <xdr:grpSp>
      <xdr:nvGrpSpPr>
        <xdr:cNvPr id="24" name="Group 23">
          <a:extLst>
            <a:ext uri="{FF2B5EF4-FFF2-40B4-BE49-F238E27FC236}">
              <a16:creationId xmlns:a16="http://schemas.microsoft.com/office/drawing/2014/main" id="{F3D7F0A8-049F-6454-7474-83B1AE664846}"/>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E9839318-51E4-BF90-C788-857C5BD59884}"/>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FD937CAE-2F8E-CDD3-DB73-D3E4D5661C71}"/>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0ACCCABE-4261-B915-84B2-FC87E9F2E5B3}"/>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809AEC68-4F3A-8864-AC44-FB3109D322E2}"/>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23</xdr:row>
      <xdr:rowOff>104652</xdr:rowOff>
    </xdr:from>
    <xdr:to>
      <xdr:col>0</xdr:col>
      <xdr:colOff>1711005</xdr:colOff>
      <xdr:row>26</xdr:row>
      <xdr:rowOff>47449</xdr:rowOff>
    </xdr:to>
    <xdr:grpSp>
      <xdr:nvGrpSpPr>
        <xdr:cNvPr id="25" name="Group 24">
          <a:extLst>
            <a:ext uri="{FF2B5EF4-FFF2-40B4-BE49-F238E27FC236}">
              <a16:creationId xmlns:a16="http://schemas.microsoft.com/office/drawing/2014/main" id="{6B0E5926-0D79-DA81-2357-1CC8C668DBC7}"/>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BF7B033C-F9F4-4D30-377A-B85DD2B0F278}"/>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0A954B42-41E1-C213-84EA-CE51C97550F5}"/>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1DB1AA57-0489-5E05-097C-0276DAD2A4CA}"/>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9062A257-FCD6-072D-8F86-BA4D1EBBA707}"/>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26</xdr:row>
      <xdr:rowOff>64766</xdr:rowOff>
    </xdr:from>
    <xdr:to>
      <xdr:col>0</xdr:col>
      <xdr:colOff>1712668</xdr:colOff>
      <xdr:row>28</xdr:row>
      <xdr:rowOff>152044</xdr:rowOff>
    </xdr:to>
    <xdr:grpSp>
      <xdr:nvGrpSpPr>
        <xdr:cNvPr id="27" name="Group 26">
          <a:extLst>
            <a:ext uri="{FF2B5EF4-FFF2-40B4-BE49-F238E27FC236}">
              <a16:creationId xmlns:a16="http://schemas.microsoft.com/office/drawing/2014/main" id="{748E0EB1-3608-73CE-7EE2-1CF1872BB26F}"/>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913C827F-C52B-2D35-DC7C-752530E826FF}"/>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8B670069-6A86-4A93-BE96-0F65EF08DDA6}"/>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F0B6ADCB-CF8D-6D4B-B891-ACB069751976}"/>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BA0AAFE6-AF8A-E6E7-D039-12922D0D7DC5}"/>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28</xdr:row>
      <xdr:rowOff>170882</xdr:rowOff>
    </xdr:from>
    <xdr:to>
      <xdr:col>0</xdr:col>
      <xdr:colOff>1711471</xdr:colOff>
      <xdr:row>31</xdr:row>
      <xdr:rowOff>106909</xdr:rowOff>
    </xdr:to>
    <xdr:grpSp>
      <xdr:nvGrpSpPr>
        <xdr:cNvPr id="28" name="Group 27">
          <a:extLst>
            <a:ext uri="{FF2B5EF4-FFF2-40B4-BE49-F238E27FC236}">
              <a16:creationId xmlns:a16="http://schemas.microsoft.com/office/drawing/2014/main" id="{A1098290-3465-DA62-9AB2-FE645B958D3E}"/>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44350380-7B87-8A7C-F4B5-224009F8248F}"/>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52CE8E77-DBDF-58A1-C63F-40088F477944}"/>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3B9EFC9B-CE72-009E-814D-D08670AEDF1A}"/>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6A27BBCF-8638-DAEB-B1DC-B87DE6427F8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13</xdr:row>
      <xdr:rowOff>125747</xdr:rowOff>
    </xdr:from>
    <xdr:to>
      <xdr:col>0</xdr:col>
      <xdr:colOff>1707169</xdr:colOff>
      <xdr:row>14</xdr:row>
      <xdr:rowOff>58716</xdr:rowOff>
    </xdr:to>
    <xdr:grpSp>
      <xdr:nvGrpSpPr>
        <xdr:cNvPr id="29" name="Group 28">
          <a:extLst>
            <a:ext uri="{FF2B5EF4-FFF2-40B4-BE49-F238E27FC236}">
              <a16:creationId xmlns:a16="http://schemas.microsoft.com/office/drawing/2014/main" id="{67C4C8EB-CF0D-0586-A4D0-B56C1EB125CD}"/>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7EB3A0EE-4952-34DA-B1BD-A28DD52C9102}"/>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09AF2EAF-FB20-E8B0-4C36-91EAA8A21961}"/>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B05BB2A3-DF69-369A-81E7-7AD7F8B5777A}"/>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CE4ECBA5-C138-E972-310F-4F0696117A6E}"/>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31</xdr:row>
      <xdr:rowOff>119454</xdr:rowOff>
    </xdr:from>
    <xdr:to>
      <xdr:col>0</xdr:col>
      <xdr:colOff>1711953</xdr:colOff>
      <xdr:row>34</xdr:row>
      <xdr:rowOff>55481</xdr:rowOff>
    </xdr:to>
    <xdr:grpSp>
      <xdr:nvGrpSpPr>
        <xdr:cNvPr id="32" name="Group 31">
          <a:extLst>
            <a:ext uri="{FF2B5EF4-FFF2-40B4-BE49-F238E27FC236}">
              <a16:creationId xmlns:a16="http://schemas.microsoft.com/office/drawing/2014/main" id="{7431E81C-50AE-9DB5-9058-8833501217AF}"/>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28236C03-CE17-76DF-FAA1-B0C80960761C}"/>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62839165-3468-0057-38C4-E58FB7963AB5}"/>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1CFDD987-70A9-0B74-2326-F400B1ADE8DB}"/>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EAFC6F84-2F8E-1BC0-FBFE-6F57E84735B7}"/>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B4FA5540-C640-4123-98AA-56661033C3DC}"/>
            </a:ext>
          </a:extLst>
        </xdr:cNvPr>
        <xdr:cNvGrpSpPr/>
      </xdr:nvGrpSpPr>
      <xdr:grpSpPr>
        <a:xfrm>
          <a:off x="979805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DEEC35FF-2DF7-CD17-9774-06F58327B8D0}"/>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7E51BD94-000A-D8B5-D1C6-BD5601639E31}"/>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34</xdr:row>
      <xdr:rowOff>88900</xdr:rowOff>
    </xdr:from>
    <xdr:to>
      <xdr:col>0</xdr:col>
      <xdr:colOff>1713549</xdr:colOff>
      <xdr:row>46</xdr:row>
      <xdr:rowOff>112134</xdr:rowOff>
    </xdr:to>
    <xdr:grpSp>
      <xdr:nvGrpSpPr>
        <xdr:cNvPr id="163" name="Group 162">
          <a:extLst>
            <a:ext uri="{FF2B5EF4-FFF2-40B4-BE49-F238E27FC236}">
              <a16:creationId xmlns:a16="http://schemas.microsoft.com/office/drawing/2014/main" id="{BE03F710-05CE-4236-ADF6-D25CEC89DFB6}"/>
            </a:ext>
          </a:extLst>
        </xdr:cNvPr>
        <xdr:cNvGrpSpPr/>
      </xdr:nvGrpSpPr>
      <xdr:grpSpPr>
        <a:xfrm>
          <a:off x="0" y="12458700"/>
          <a:ext cx="1713549" cy="2233034"/>
          <a:chOff x="5137727" y="13144500"/>
          <a:chExt cx="1713549" cy="2252946"/>
        </a:xfrm>
      </xdr:grpSpPr>
      <xdr:grpSp>
        <xdr:nvGrpSpPr>
          <xdr:cNvPr id="164" name="Group 163">
            <a:extLst>
              <a:ext uri="{FF2B5EF4-FFF2-40B4-BE49-F238E27FC236}">
                <a16:creationId xmlns:a16="http://schemas.microsoft.com/office/drawing/2014/main" id="{3F431163-53AB-1F1E-0B3A-876E7CF5C101}"/>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1914B5FB-D78E-7C79-4EA5-EDFBAFCB3884}"/>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D9EDD0CE-4986-BFBF-82AE-64C4A659C158}"/>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A1E9ED8E-AA2B-C056-4047-D2FF5BB17574}"/>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64DFA2F7-BA4D-AA8E-D6C4-EB1EDFCF2BD4}"/>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A68C59C2-2D78-2C28-2C91-A0A23C84E669}"/>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DC994ACE-0B3A-7843-F680-5143CEA52517}"/>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60906C8B-E905-C9AF-6C98-6BA3D8A15391}"/>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1DB24575-5D06-1E91-C5A6-47EA81E9D3AA}"/>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AC3150B8-B0B3-7894-F59C-D1F6727B41D9}"/>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0322731C-6A15-ACA6-A439-F96FC4DCB036}"/>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61B9664B-DB4A-5D1E-7B81-9589EA65507A}"/>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863BEC53-979C-C2DC-CE1D-BDFFB4D01385}"/>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BDC4622D-75AE-299E-D1BE-567B578E24C2}"/>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9CF52D16-0F7A-8443-720B-F3C1F8C433EE}"/>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1880D9EC-5299-7DFE-F7D2-B41AF1C0F2DC}"/>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52F9B1F1-922C-B486-2CB4-302E22AA51F5}"/>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2381AF01-0E52-069F-FBC0-19CDE269389F}"/>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4C49FC39-5DD3-16FC-1840-CE240C1E18C0}"/>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9976A2F6-E883-8B63-91C3-08F048CF0B7B}"/>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E5DDEBEC-88CC-8690-99F7-D1A13524D68B}"/>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48</xdr:row>
      <xdr:rowOff>146050</xdr:rowOff>
    </xdr:to>
    <xdr:sp macro="" textlink="">
      <xdr:nvSpPr>
        <xdr:cNvPr id="4" name="Rectangle: Rounded Corners 3">
          <a:extLst>
            <a:ext uri="{FF2B5EF4-FFF2-40B4-BE49-F238E27FC236}">
              <a16:creationId xmlns:a16="http://schemas.microsoft.com/office/drawing/2014/main" id="{B09913DB-8F61-7123-ABB5-0982D8301A94}"/>
            </a:ext>
          </a:extLst>
        </xdr:cNvPr>
        <xdr:cNvSpPr/>
      </xdr:nvSpPr>
      <xdr:spPr>
        <a:xfrm>
          <a:off x="0" y="0"/>
          <a:ext cx="1841776" cy="149098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F3F54B9D-A30F-8201-0F8F-EC96B9CCA4F9}"/>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D99C9BE3-84C7-9CAC-DB82-CFBC703645A1}"/>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AD374456-02BA-B25C-5204-FCE5B8EABBE1}"/>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4636ECDA-88F4-C745-A53B-FAF2F313807C}"/>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9A27176B-12FE-0B56-7999-91F88C78E2CA}"/>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E66F405C-0919-4B2E-C40B-AC85F72AAD6D}"/>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5F4F2E32-A9AE-BC9C-2496-0F82B21B93CD}"/>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60AFD0F5-01FB-2C5E-D488-09EB5B7715BF}"/>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74C23CD7-7430-B0A1-554C-892423B31936}"/>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783139</xdr:rowOff>
    </xdr:from>
    <xdr:to>
      <xdr:col>0</xdr:col>
      <xdr:colOff>1717958</xdr:colOff>
      <xdr:row>5</xdr:row>
      <xdr:rowOff>310201</xdr:rowOff>
    </xdr:to>
    <xdr:grpSp>
      <xdr:nvGrpSpPr>
        <xdr:cNvPr id="8" name="Group 7">
          <a:extLst>
            <a:ext uri="{FF2B5EF4-FFF2-40B4-BE49-F238E27FC236}">
              <a16:creationId xmlns:a16="http://schemas.microsoft.com/office/drawing/2014/main" id="{9CBE1176-0E7C-F72B-43A8-39C08D6A5D70}"/>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DFB9F9F9-DD2D-470B-A64E-7BE0C7EBB578}"/>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F3601362-E9A3-B0F2-8393-9BA503632F6B}"/>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C4106525-BAFD-DEBA-B49F-D7587493A959}"/>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331852</xdr:rowOff>
    </xdr:from>
    <xdr:to>
      <xdr:col>0</xdr:col>
      <xdr:colOff>1715516</xdr:colOff>
      <xdr:row>6</xdr:row>
      <xdr:rowOff>225377</xdr:rowOff>
    </xdr:to>
    <xdr:grpSp>
      <xdr:nvGrpSpPr>
        <xdr:cNvPr id="9" name="Group 8">
          <a:extLst>
            <a:ext uri="{FF2B5EF4-FFF2-40B4-BE49-F238E27FC236}">
              <a16:creationId xmlns:a16="http://schemas.microsoft.com/office/drawing/2014/main" id="{134A12CA-F71C-D9C8-560F-1A87178F765B}"/>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DEFFF855-1612-B51B-EC5E-F46D4FC64FF0}"/>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2BD9D228-1142-2096-3B9A-BFB44824AE06}"/>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777181F7-F949-8BBD-D8BD-423C2D910FB0}"/>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239656</xdr:rowOff>
    </xdr:from>
    <xdr:to>
      <xdr:col>0</xdr:col>
      <xdr:colOff>1713076</xdr:colOff>
      <xdr:row>7</xdr:row>
      <xdr:rowOff>146052</xdr:rowOff>
    </xdr:to>
    <xdr:grpSp>
      <xdr:nvGrpSpPr>
        <xdr:cNvPr id="10" name="Group 9">
          <a:extLst>
            <a:ext uri="{FF2B5EF4-FFF2-40B4-BE49-F238E27FC236}">
              <a16:creationId xmlns:a16="http://schemas.microsoft.com/office/drawing/2014/main" id="{FE531F2E-A3A3-A9F9-8465-19620061167A}"/>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984AA983-43D0-5CB3-B987-916EDB1DEF95}"/>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1249ED36-2952-1719-C885-08BBD57293C4}"/>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89F50779-789B-B2EB-ABED-AFA4B949E7F6}"/>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BDDB37E5-60E5-BF82-AEE9-CE7A01D3024F}"/>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4</xdr:row>
      <xdr:rowOff>762514</xdr:rowOff>
    </xdr:to>
    <xdr:grpSp>
      <xdr:nvGrpSpPr>
        <xdr:cNvPr id="11" name="Group 10">
          <a:extLst>
            <a:ext uri="{FF2B5EF4-FFF2-40B4-BE49-F238E27FC236}">
              <a16:creationId xmlns:a16="http://schemas.microsoft.com/office/drawing/2014/main" id="{57DD1356-B9F8-84DE-1C5B-D8C090B257EE}"/>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8FCA3584-4C6C-F693-B9E2-E9A1213194F9}"/>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12DA11EF-B06E-DBFE-FF59-4230708625A1}"/>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AA335171-8430-BA1A-E0AC-321E95AF0CDF}"/>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159236</xdr:rowOff>
    </xdr:from>
    <xdr:to>
      <xdr:col>0</xdr:col>
      <xdr:colOff>1713094</xdr:colOff>
      <xdr:row>7</xdr:row>
      <xdr:rowOff>642755</xdr:rowOff>
    </xdr:to>
    <xdr:grpSp>
      <xdr:nvGrpSpPr>
        <xdr:cNvPr id="12" name="Group 11">
          <a:extLst>
            <a:ext uri="{FF2B5EF4-FFF2-40B4-BE49-F238E27FC236}">
              <a16:creationId xmlns:a16="http://schemas.microsoft.com/office/drawing/2014/main" id="{19FC1581-52DE-2A37-8927-5548B86D23FF}"/>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67949CFA-CB76-8A20-E41D-A1A25B3084F4}"/>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FF227837-E225-FF99-8DC9-522FF652D943}"/>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EE966F38-7470-8D06-901A-246054A80307}"/>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87411F09-6A97-6D50-E92F-72431EDFA119}"/>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7</xdr:row>
      <xdr:rowOff>655553</xdr:rowOff>
    </xdr:from>
    <xdr:to>
      <xdr:col>0</xdr:col>
      <xdr:colOff>1713246</xdr:colOff>
      <xdr:row>8</xdr:row>
      <xdr:rowOff>380760</xdr:rowOff>
    </xdr:to>
    <xdr:grpSp>
      <xdr:nvGrpSpPr>
        <xdr:cNvPr id="13" name="Group 12">
          <a:extLst>
            <a:ext uri="{FF2B5EF4-FFF2-40B4-BE49-F238E27FC236}">
              <a16:creationId xmlns:a16="http://schemas.microsoft.com/office/drawing/2014/main" id="{F095209C-2980-3DBE-CEBA-D942D1C963CA}"/>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9FEA9AA5-EE50-6BC1-9ECB-7E2060377F21}"/>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6569AFB6-318D-56AD-6E34-68B4CD6CA8D1}"/>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DB79BB3A-52D9-38A5-7AFA-2C4663D8BD00}"/>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00802ACA-EEDB-A80D-21A1-1CEF27DB1A0F}"/>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397990</xdr:rowOff>
    </xdr:from>
    <xdr:to>
      <xdr:col>0</xdr:col>
      <xdr:colOff>1709917</xdr:colOff>
      <xdr:row>9</xdr:row>
      <xdr:rowOff>340158</xdr:rowOff>
    </xdr:to>
    <xdr:grpSp>
      <xdr:nvGrpSpPr>
        <xdr:cNvPr id="14" name="Group 13">
          <a:extLst>
            <a:ext uri="{FF2B5EF4-FFF2-40B4-BE49-F238E27FC236}">
              <a16:creationId xmlns:a16="http://schemas.microsoft.com/office/drawing/2014/main" id="{48B0A836-3CAA-94CC-148A-AC160C9F5E7B}"/>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6DEFF9EC-017F-78A3-AA99-2CCCB0F35280}"/>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E5170437-9BBA-EAC4-CDBD-BA9E9B059831}"/>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4536756A-46E4-45AC-6F6F-667FE049A369}"/>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E1ED36AE-B7E5-F7A4-1872-71B3104357D2}"/>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362497</xdr:rowOff>
    </xdr:from>
    <xdr:to>
      <xdr:col>0</xdr:col>
      <xdr:colOff>1709302</xdr:colOff>
      <xdr:row>10</xdr:row>
      <xdr:rowOff>450531</xdr:rowOff>
    </xdr:to>
    <xdr:grpSp>
      <xdr:nvGrpSpPr>
        <xdr:cNvPr id="15" name="Group 14">
          <a:extLst>
            <a:ext uri="{FF2B5EF4-FFF2-40B4-BE49-F238E27FC236}">
              <a16:creationId xmlns:a16="http://schemas.microsoft.com/office/drawing/2014/main" id="{B02307E2-F19F-0C3C-720A-DDF865839010}"/>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B349DD69-274D-8EAD-4398-633D25C2A1CB}"/>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74DB4DFC-17A1-5DBC-9014-24801740A043}"/>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BD4A325D-456B-19E5-ED49-76D4A850134F}"/>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DF6B7FEC-92AB-E7A0-137E-624ABD55D9E5}"/>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10</xdr:row>
      <xdr:rowOff>469448</xdr:rowOff>
    </xdr:from>
    <xdr:to>
      <xdr:col>0</xdr:col>
      <xdr:colOff>1709298</xdr:colOff>
      <xdr:row>11</xdr:row>
      <xdr:rowOff>222194</xdr:rowOff>
    </xdr:to>
    <xdr:grpSp>
      <xdr:nvGrpSpPr>
        <xdr:cNvPr id="16" name="Group 15">
          <a:extLst>
            <a:ext uri="{FF2B5EF4-FFF2-40B4-BE49-F238E27FC236}">
              <a16:creationId xmlns:a16="http://schemas.microsoft.com/office/drawing/2014/main" id="{C21222A8-DDA5-DDEF-AAED-CB569E00D374}"/>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D00DA730-2D46-4867-BCB1-6ADF451FA96A}"/>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8541C57A-1048-BB8F-8AD1-B17DF0515F0B}"/>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4FFA14A1-8D5E-0193-5E32-9F7FAADD516C}"/>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12E668C3-DE5F-3703-8A2C-5973216A3456}"/>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240049</xdr:rowOff>
    </xdr:from>
    <xdr:to>
      <xdr:col>0</xdr:col>
      <xdr:colOff>1709296</xdr:colOff>
      <xdr:row>12</xdr:row>
      <xdr:rowOff>366367</xdr:rowOff>
    </xdr:to>
    <xdr:grpSp>
      <xdr:nvGrpSpPr>
        <xdr:cNvPr id="17" name="Group 16">
          <a:extLst>
            <a:ext uri="{FF2B5EF4-FFF2-40B4-BE49-F238E27FC236}">
              <a16:creationId xmlns:a16="http://schemas.microsoft.com/office/drawing/2014/main" id="{C20A828A-89D0-ABFE-D48A-218998FF5CAA}"/>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A5BBAAD0-7B19-98E1-C8B2-F792BCA04623}"/>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F2260D56-F1EF-DDFB-42FB-B3A53BD87568}"/>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CE1D1D4B-ECAF-B2C1-9B3D-E1790D07ACEC}"/>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8E4AEB66-D75C-1926-C7F8-B7D6B6B8D933}"/>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386157</xdr:rowOff>
    </xdr:from>
    <xdr:to>
      <xdr:col>0</xdr:col>
      <xdr:colOff>1708011</xdr:colOff>
      <xdr:row>13</xdr:row>
      <xdr:rowOff>106681</xdr:rowOff>
    </xdr:to>
    <xdr:grpSp>
      <xdr:nvGrpSpPr>
        <xdr:cNvPr id="18" name="Group 17">
          <a:extLst>
            <a:ext uri="{FF2B5EF4-FFF2-40B4-BE49-F238E27FC236}">
              <a16:creationId xmlns:a16="http://schemas.microsoft.com/office/drawing/2014/main" id="{21BC2F89-8C12-9FE4-7D67-3BACC29FE81A}"/>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D691408C-4A90-DC02-BEE3-B3371F8171B4}"/>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191256DC-8BD3-E105-B380-64461DA0560D}"/>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4EBA2668-3F17-D91D-FEE9-7768DDACC172}"/>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A25003DE-3362-C9B5-3106-B575827829D4}"/>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14</xdr:row>
      <xdr:rowOff>82193</xdr:rowOff>
    </xdr:from>
    <xdr:to>
      <xdr:col>0</xdr:col>
      <xdr:colOff>1708946</xdr:colOff>
      <xdr:row>14</xdr:row>
      <xdr:rowOff>547436</xdr:rowOff>
    </xdr:to>
    <xdr:grpSp>
      <xdr:nvGrpSpPr>
        <xdr:cNvPr id="19" name="Group 18">
          <a:extLst>
            <a:ext uri="{FF2B5EF4-FFF2-40B4-BE49-F238E27FC236}">
              <a16:creationId xmlns:a16="http://schemas.microsoft.com/office/drawing/2014/main" id="{BEB23E3B-4DB3-68EB-9205-A3BE523D7288}"/>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C701E4E0-6775-9905-49BC-937B4EA6FF7B}"/>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48D29612-E5E0-65D5-DDAD-C0C2F6741BB3}"/>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FDCE66A3-CD95-9E5C-7E84-0559A6F2D382}"/>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AC9C291F-15EF-4A1F-590A-99C66A9E6A11}"/>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15</xdr:row>
      <xdr:rowOff>22534</xdr:rowOff>
    </xdr:from>
    <xdr:to>
      <xdr:col>0</xdr:col>
      <xdr:colOff>1710873</xdr:colOff>
      <xdr:row>15</xdr:row>
      <xdr:rowOff>510979</xdr:rowOff>
    </xdr:to>
    <xdr:grpSp>
      <xdr:nvGrpSpPr>
        <xdr:cNvPr id="20" name="Group 19">
          <a:extLst>
            <a:ext uri="{FF2B5EF4-FFF2-40B4-BE49-F238E27FC236}">
              <a16:creationId xmlns:a16="http://schemas.microsoft.com/office/drawing/2014/main" id="{EAE768E1-EEC7-0805-BD7C-7818A82ADA88}"/>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8053E901-0E87-E5A1-141A-A20040487E4F}"/>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2FEF1284-28FA-6BA3-9C41-4DB3329D6B21}"/>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84B8A440-ED9B-2082-4789-EEA0A6399E26}"/>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0183A0B8-3D74-22A6-FF94-795F69A43D2A}"/>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15</xdr:row>
      <xdr:rowOff>535085</xdr:rowOff>
    </xdr:from>
    <xdr:to>
      <xdr:col>0</xdr:col>
      <xdr:colOff>1712157</xdr:colOff>
      <xdr:row>16</xdr:row>
      <xdr:rowOff>77067</xdr:rowOff>
    </xdr:to>
    <xdr:grpSp>
      <xdr:nvGrpSpPr>
        <xdr:cNvPr id="21" name="Group 20">
          <a:extLst>
            <a:ext uri="{FF2B5EF4-FFF2-40B4-BE49-F238E27FC236}">
              <a16:creationId xmlns:a16="http://schemas.microsoft.com/office/drawing/2014/main" id="{FF847157-1EDC-FF6C-5D82-BBE02AFDB0E5}"/>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C106F5A6-CC53-9561-FFE9-3E09DF62D9E6}"/>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0AE860B8-CB27-B448-3673-760801B7ABBD}"/>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6FC865EA-41C3-8E1A-0D13-6F454B803939}"/>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1883CCF5-F4EF-F85B-9F38-4E2649A32724}"/>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16</xdr:row>
      <xdr:rowOff>89855</xdr:rowOff>
    </xdr:from>
    <xdr:to>
      <xdr:col>0</xdr:col>
      <xdr:colOff>1713207</xdr:colOff>
      <xdr:row>19</xdr:row>
      <xdr:rowOff>25282</xdr:rowOff>
    </xdr:to>
    <xdr:grpSp>
      <xdr:nvGrpSpPr>
        <xdr:cNvPr id="22" name="Group 21">
          <a:extLst>
            <a:ext uri="{FF2B5EF4-FFF2-40B4-BE49-F238E27FC236}">
              <a16:creationId xmlns:a16="http://schemas.microsoft.com/office/drawing/2014/main" id="{F81AE29F-1F5C-C91B-ED34-C496CF2983F7}"/>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5B26A5C1-653F-52FF-89E7-F6C9934A1662}"/>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7AFD9BB4-0FAB-9325-1FCC-F7EAC0993A8E}"/>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E6D7F884-AFE4-9E54-BDF5-FB888B5765A8}"/>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16FCEA09-D409-DA9D-6ABC-115BA6A6DD8B}"/>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21</xdr:row>
      <xdr:rowOff>182190</xdr:rowOff>
    </xdr:from>
    <xdr:to>
      <xdr:col>0</xdr:col>
      <xdr:colOff>1711774</xdr:colOff>
      <xdr:row>24</xdr:row>
      <xdr:rowOff>96253</xdr:rowOff>
    </xdr:to>
    <xdr:grpSp>
      <xdr:nvGrpSpPr>
        <xdr:cNvPr id="23" name="Group 22">
          <a:extLst>
            <a:ext uri="{FF2B5EF4-FFF2-40B4-BE49-F238E27FC236}">
              <a16:creationId xmlns:a16="http://schemas.microsoft.com/office/drawing/2014/main" id="{1C16655D-C8BF-763F-8F3E-2B05E743674B}"/>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B833F555-5596-10AE-B76B-5E13C966757F}"/>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891042B6-75E6-182F-B646-3FCE7E015E3F}"/>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709A5322-BBBE-D973-995D-43BD11272ED4}"/>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9D77F136-4C8D-E134-BA2F-63593DAE5BF9}"/>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19</xdr:row>
      <xdr:rowOff>43265</xdr:rowOff>
    </xdr:from>
    <xdr:to>
      <xdr:col>0</xdr:col>
      <xdr:colOff>1712537</xdr:colOff>
      <xdr:row>21</xdr:row>
      <xdr:rowOff>157911</xdr:rowOff>
    </xdr:to>
    <xdr:grpSp>
      <xdr:nvGrpSpPr>
        <xdr:cNvPr id="24" name="Group 23">
          <a:extLst>
            <a:ext uri="{FF2B5EF4-FFF2-40B4-BE49-F238E27FC236}">
              <a16:creationId xmlns:a16="http://schemas.microsoft.com/office/drawing/2014/main" id="{10072C7F-9E52-9C72-0ABB-53C022FCDC58}"/>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819ABBA2-4517-81B9-60BB-B09F098E8445}"/>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33D2BDA3-9986-2647-03DA-69737B52E98F}"/>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29FD56FA-F551-2985-E2D5-BB2D73FA11B0}"/>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E64035CB-34D1-37C5-0262-261F8A1DE260}"/>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24</xdr:row>
      <xdr:rowOff>104652</xdr:rowOff>
    </xdr:from>
    <xdr:to>
      <xdr:col>0</xdr:col>
      <xdr:colOff>1711005</xdr:colOff>
      <xdr:row>27</xdr:row>
      <xdr:rowOff>47449</xdr:rowOff>
    </xdr:to>
    <xdr:grpSp>
      <xdr:nvGrpSpPr>
        <xdr:cNvPr id="25" name="Group 24">
          <a:extLst>
            <a:ext uri="{FF2B5EF4-FFF2-40B4-BE49-F238E27FC236}">
              <a16:creationId xmlns:a16="http://schemas.microsoft.com/office/drawing/2014/main" id="{11F59F9C-2318-4D5B-4095-5D64A5D8385E}"/>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6E95AD1B-CF1A-B430-54C9-9D6686AAC1E2}"/>
              </a:ext>
            </a:extLst>
          </xdr:cNvPr>
          <xdr:cNvSpPr/>
        </xdr:nvSpPr>
        <xdr:spPr>
          <a:xfrm>
            <a:off x="3992" y="10364808"/>
            <a:ext cx="1709047" cy="479667"/>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9ED1B688-1EC1-7B46-9FBB-0448B8C5733F}"/>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64" name="Oval 63">
            <a:extLst>
              <a:ext uri="{FF2B5EF4-FFF2-40B4-BE49-F238E27FC236}">
                <a16:creationId xmlns:a16="http://schemas.microsoft.com/office/drawing/2014/main" id="{CC0BA1C9-74F9-C255-DD39-18E0C0C90554}"/>
              </a:ext>
            </a:extLst>
          </xdr:cNvPr>
          <xdr:cNvSpPr/>
        </xdr:nvSpPr>
        <xdr:spPr>
          <a:xfrm>
            <a:off x="98578" y="10447385"/>
            <a:ext cx="286142" cy="313659"/>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5132F533-37B5-CDCB-BC64-3FA3C2605A1F}"/>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Petrol/Diesel Control</a:t>
            </a:r>
          </a:p>
        </xdr:txBody>
      </xdr:sp>
    </xdr:grpSp>
    <xdr:clientData/>
  </xdr:twoCellAnchor>
  <xdr:twoCellAnchor>
    <xdr:from>
      <xdr:col>0</xdr:col>
      <xdr:colOff>5499</xdr:colOff>
      <xdr:row>27</xdr:row>
      <xdr:rowOff>64766</xdr:rowOff>
    </xdr:from>
    <xdr:to>
      <xdr:col>0</xdr:col>
      <xdr:colOff>1712668</xdr:colOff>
      <xdr:row>29</xdr:row>
      <xdr:rowOff>152044</xdr:rowOff>
    </xdr:to>
    <xdr:grpSp>
      <xdr:nvGrpSpPr>
        <xdr:cNvPr id="27" name="Group 26">
          <a:extLst>
            <a:ext uri="{FF2B5EF4-FFF2-40B4-BE49-F238E27FC236}">
              <a16:creationId xmlns:a16="http://schemas.microsoft.com/office/drawing/2014/main" id="{591EFF79-7D10-252A-FE86-5880742B8395}"/>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B23EEC3A-9087-CCFE-8637-312D871F1A39}"/>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CC207EEB-73C4-C926-8E79-AF93FA98EDC4}"/>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433AD6FF-6F1D-D3BA-856D-AABED2AC8E0A}"/>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B74DE920-DAD5-225B-AD08-4E21C3C0A5E8}"/>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29</xdr:row>
      <xdr:rowOff>170882</xdr:rowOff>
    </xdr:from>
    <xdr:to>
      <xdr:col>0</xdr:col>
      <xdr:colOff>1711471</xdr:colOff>
      <xdr:row>32</xdr:row>
      <xdr:rowOff>106909</xdr:rowOff>
    </xdr:to>
    <xdr:grpSp>
      <xdr:nvGrpSpPr>
        <xdr:cNvPr id="28" name="Group 27">
          <a:extLst>
            <a:ext uri="{FF2B5EF4-FFF2-40B4-BE49-F238E27FC236}">
              <a16:creationId xmlns:a16="http://schemas.microsoft.com/office/drawing/2014/main" id="{8B60346C-F31E-F6C1-A16E-332F2C96A5BE}"/>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5716E2F3-2105-EF32-DEE0-3D3CE9DE4816}"/>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FDA1C421-5AB5-2474-6394-EEA59EA521A1}"/>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C5320C59-C31A-00DD-F3DA-4CCFD6A83EE7}"/>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67F703B8-1E75-0AC6-461E-D7702DC92023}"/>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13</xdr:row>
      <xdr:rowOff>125747</xdr:rowOff>
    </xdr:from>
    <xdr:to>
      <xdr:col>0</xdr:col>
      <xdr:colOff>1707169</xdr:colOff>
      <xdr:row>14</xdr:row>
      <xdr:rowOff>58716</xdr:rowOff>
    </xdr:to>
    <xdr:grpSp>
      <xdr:nvGrpSpPr>
        <xdr:cNvPr id="29" name="Group 28">
          <a:extLst>
            <a:ext uri="{FF2B5EF4-FFF2-40B4-BE49-F238E27FC236}">
              <a16:creationId xmlns:a16="http://schemas.microsoft.com/office/drawing/2014/main" id="{144A15E4-1A07-68B3-2589-A9FF596CA9FC}"/>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C9A176EB-E465-2D6F-BC1E-A4CD4782FB3B}"/>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F4477536-8671-ABC1-0DDD-84C63EF3A84D}"/>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1B3399AD-2688-3B1C-D14A-F414F98215DF}"/>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810EE6BE-B262-C992-113D-C95F742227A8}"/>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32</xdr:row>
      <xdr:rowOff>119454</xdr:rowOff>
    </xdr:from>
    <xdr:to>
      <xdr:col>0</xdr:col>
      <xdr:colOff>1711953</xdr:colOff>
      <xdr:row>35</xdr:row>
      <xdr:rowOff>55481</xdr:rowOff>
    </xdr:to>
    <xdr:grpSp>
      <xdr:nvGrpSpPr>
        <xdr:cNvPr id="32" name="Group 31">
          <a:extLst>
            <a:ext uri="{FF2B5EF4-FFF2-40B4-BE49-F238E27FC236}">
              <a16:creationId xmlns:a16="http://schemas.microsoft.com/office/drawing/2014/main" id="{37DEA844-C4CB-A56B-CE97-E4A80D51CA8E}"/>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B5089A4E-B0B9-9301-7119-3E574238FA17}"/>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F515C1D9-CDC0-3A4B-4C5B-4E997D386DA0}"/>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CC0D6118-39A5-F88D-DCC4-B5605DF78CCC}"/>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6021988D-ACB3-2F03-1C0C-F44A08A0FBE3}"/>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25261C2A-CB59-4971-AD43-A83BA6829818}"/>
            </a:ext>
          </a:extLst>
        </xdr:cNvPr>
        <xdr:cNvGrpSpPr/>
      </xdr:nvGrpSpPr>
      <xdr:grpSpPr>
        <a:xfrm>
          <a:off x="949325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EAC166B6-12BC-6136-DA55-EEC770DCCF4A}"/>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84C4E91F-1C56-46ED-C085-F3C2AE78B2A9}"/>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35</xdr:row>
      <xdr:rowOff>76200</xdr:rowOff>
    </xdr:from>
    <xdr:to>
      <xdr:col>0</xdr:col>
      <xdr:colOff>1713549</xdr:colOff>
      <xdr:row>47</xdr:row>
      <xdr:rowOff>99434</xdr:rowOff>
    </xdr:to>
    <xdr:grpSp>
      <xdr:nvGrpSpPr>
        <xdr:cNvPr id="163" name="Group 162">
          <a:extLst>
            <a:ext uri="{FF2B5EF4-FFF2-40B4-BE49-F238E27FC236}">
              <a16:creationId xmlns:a16="http://schemas.microsoft.com/office/drawing/2014/main" id="{77208CAE-6BC7-40AB-B989-E8E98130F675}"/>
            </a:ext>
          </a:extLst>
        </xdr:cNvPr>
        <xdr:cNvGrpSpPr/>
      </xdr:nvGrpSpPr>
      <xdr:grpSpPr>
        <a:xfrm>
          <a:off x="0" y="12446000"/>
          <a:ext cx="1713549" cy="2233034"/>
          <a:chOff x="5137727" y="13144500"/>
          <a:chExt cx="1713549" cy="2252946"/>
        </a:xfrm>
      </xdr:grpSpPr>
      <xdr:grpSp>
        <xdr:nvGrpSpPr>
          <xdr:cNvPr id="164" name="Group 163">
            <a:extLst>
              <a:ext uri="{FF2B5EF4-FFF2-40B4-BE49-F238E27FC236}">
                <a16:creationId xmlns:a16="http://schemas.microsoft.com/office/drawing/2014/main" id="{718D6820-2244-611B-2A1C-98E444F0C995}"/>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A9E563A5-5D03-0A1E-5F31-8F183DF0F589}"/>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55EED37C-44B0-5A45-9F72-BD72EA0FE946}"/>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D82E24E8-3E98-676B-6400-74570A40E0DC}"/>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17015C2E-DE89-2FA3-43E9-CD605D6EBDF4}"/>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092CEED1-3DDD-FEC1-3084-50710BAC3FF3}"/>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9FE71550-AF9D-72CB-81C3-46A1EAEE6874}"/>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1E8A03DD-C1FF-9736-F4FA-B7CEF3BCF845}"/>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24B56035-33F7-5055-AA48-A16BD54176A7}"/>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E569263D-8EA7-D916-4308-C0C9EE661872}"/>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B1EE6C3D-F039-E5D7-0269-4577F6C5109E}"/>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FD3E5CD2-F2C5-C371-3539-6B5CBB3ACD19}"/>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6E20C431-1AE4-8242-6109-3B78C2768FA8}"/>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E73AB463-5276-DCF6-4BE3-DA8AA749DDBF}"/>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3409B144-B93E-DB05-3352-D37145BA30C6}"/>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920527DA-899B-876E-5BD1-556DDC17834C}"/>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3C5665B4-9717-56F5-CBDD-11915E083C17}"/>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4AE4BDC2-1817-8003-85F1-F23B1C6CFD77}"/>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AE1306FD-5E83-4B22-4282-8814B2B92462}"/>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B324E7E3-E782-D006-092F-2AC53BC0B90B}"/>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3761793D-C4A3-D29A-9F90-D0027DC8F8C5}"/>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32</xdr:row>
      <xdr:rowOff>114300</xdr:rowOff>
    </xdr:to>
    <xdr:sp macro="" textlink="">
      <xdr:nvSpPr>
        <xdr:cNvPr id="4" name="Rectangle: Rounded Corners 3">
          <a:extLst>
            <a:ext uri="{FF2B5EF4-FFF2-40B4-BE49-F238E27FC236}">
              <a16:creationId xmlns:a16="http://schemas.microsoft.com/office/drawing/2014/main" id="{D46A8F9D-4579-BE5D-8913-FD6B4002F3EB}"/>
            </a:ext>
          </a:extLst>
        </xdr:cNvPr>
        <xdr:cNvSpPr/>
      </xdr:nvSpPr>
      <xdr:spPr>
        <a:xfrm>
          <a:off x="0" y="0"/>
          <a:ext cx="1841776" cy="148780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04EDBDD6-2B34-E3DF-4E13-B3B7077D0B58}"/>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3C8CBE2B-1D27-8524-D1A9-1F4A759E0D7B}"/>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78E6237A-4B1F-36FB-E380-8F84D3CDBFDA}"/>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0C2EE920-4E69-4D7A-DCDE-AFC5EE1EA95E}"/>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3EF5004D-57DB-87F2-DCB7-A393F952E80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563A5573-0380-D31B-69BD-ABDE8BBC4D9A}"/>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89CFB5B8-B9A6-CC8A-6F94-897D57A3BB84}"/>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64F775CE-CEF7-1FA0-E430-FAEA7F0FD3BD}"/>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BE306EE4-BD54-3ED6-1F06-54627439107B}"/>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414839</xdr:rowOff>
    </xdr:from>
    <xdr:to>
      <xdr:col>0</xdr:col>
      <xdr:colOff>1717958</xdr:colOff>
      <xdr:row>6</xdr:row>
      <xdr:rowOff>310201</xdr:rowOff>
    </xdr:to>
    <xdr:grpSp>
      <xdr:nvGrpSpPr>
        <xdr:cNvPr id="8" name="Group 7">
          <a:extLst>
            <a:ext uri="{FF2B5EF4-FFF2-40B4-BE49-F238E27FC236}">
              <a16:creationId xmlns:a16="http://schemas.microsoft.com/office/drawing/2014/main" id="{5D8700D6-C08E-4CC2-C56A-F251613C99AA}"/>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F26315CF-293C-4A8A-DEF8-A72F437CD3CA}"/>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DB2B4162-63AA-002D-B0B2-780F5CD4BFA8}"/>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BB4AD404-F55B-6B17-063E-BF8767EF518D}"/>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331852</xdr:rowOff>
    </xdr:from>
    <xdr:to>
      <xdr:col>0</xdr:col>
      <xdr:colOff>1715516</xdr:colOff>
      <xdr:row>6</xdr:row>
      <xdr:rowOff>777827</xdr:rowOff>
    </xdr:to>
    <xdr:grpSp>
      <xdr:nvGrpSpPr>
        <xdr:cNvPr id="9" name="Group 8">
          <a:extLst>
            <a:ext uri="{FF2B5EF4-FFF2-40B4-BE49-F238E27FC236}">
              <a16:creationId xmlns:a16="http://schemas.microsoft.com/office/drawing/2014/main" id="{5D9CB408-ADFD-430C-FAE7-FF272FEE6A74}"/>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E1E50076-CCF1-E0F8-3799-0E2995D4291D}"/>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BC9AF2E1-FE66-A4F0-D671-A3EDA3E029C2}"/>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9AB7F3C0-AD75-EA23-C792-F4A4EB65FE36}"/>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792106</xdr:rowOff>
    </xdr:from>
    <xdr:to>
      <xdr:col>0</xdr:col>
      <xdr:colOff>1713076</xdr:colOff>
      <xdr:row>7</xdr:row>
      <xdr:rowOff>330202</xdr:rowOff>
    </xdr:to>
    <xdr:grpSp>
      <xdr:nvGrpSpPr>
        <xdr:cNvPr id="10" name="Group 9">
          <a:extLst>
            <a:ext uri="{FF2B5EF4-FFF2-40B4-BE49-F238E27FC236}">
              <a16:creationId xmlns:a16="http://schemas.microsoft.com/office/drawing/2014/main" id="{0EE6C5B3-ED26-01FA-314E-AF8084B67CC3}"/>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268BD633-82FD-DD4C-3995-5538CA822A84}"/>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1C372548-C367-F176-6F5B-18F64545D697}"/>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9A09A3F2-A2AF-8DC0-D248-8E1AE72A724A}"/>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9EBBA488-9D42-9EB6-755E-748F086EA437}"/>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394214</xdr:rowOff>
    </xdr:to>
    <xdr:grpSp>
      <xdr:nvGrpSpPr>
        <xdr:cNvPr id="11" name="Group 10">
          <a:extLst>
            <a:ext uri="{FF2B5EF4-FFF2-40B4-BE49-F238E27FC236}">
              <a16:creationId xmlns:a16="http://schemas.microsoft.com/office/drawing/2014/main" id="{A40297BD-54D5-8AE4-A105-CA425D5C51BE}"/>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A7010070-07D6-2B1F-34E0-3E705393233F}"/>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5487FA8E-C6BA-96DF-8CA3-0952C1F6D047}"/>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AE4312B7-10EF-0EF0-F47F-A1272D042DBE}"/>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343386</xdr:rowOff>
    </xdr:from>
    <xdr:to>
      <xdr:col>0</xdr:col>
      <xdr:colOff>1713094</xdr:colOff>
      <xdr:row>8</xdr:row>
      <xdr:rowOff>90305</xdr:rowOff>
    </xdr:to>
    <xdr:grpSp>
      <xdr:nvGrpSpPr>
        <xdr:cNvPr id="12" name="Group 11">
          <a:extLst>
            <a:ext uri="{FF2B5EF4-FFF2-40B4-BE49-F238E27FC236}">
              <a16:creationId xmlns:a16="http://schemas.microsoft.com/office/drawing/2014/main" id="{C1392265-C82B-2F28-F22B-97E22A4D0CB0}"/>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7B3AD599-8A7E-9F49-DA05-3C07531C5FEE}"/>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B3BD5797-05AD-5F13-B416-B4DE7A051DD8}"/>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61EAD5CA-EF73-7823-CA67-5E1AFC4DB32A}"/>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4360D820-0FD6-723A-0056-7DCFA7948043}"/>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103103</xdr:rowOff>
    </xdr:from>
    <xdr:to>
      <xdr:col>0</xdr:col>
      <xdr:colOff>1713246</xdr:colOff>
      <xdr:row>9</xdr:row>
      <xdr:rowOff>12460</xdr:rowOff>
    </xdr:to>
    <xdr:grpSp>
      <xdr:nvGrpSpPr>
        <xdr:cNvPr id="13" name="Group 12">
          <a:extLst>
            <a:ext uri="{FF2B5EF4-FFF2-40B4-BE49-F238E27FC236}">
              <a16:creationId xmlns:a16="http://schemas.microsoft.com/office/drawing/2014/main" id="{311A9F11-AE68-3468-CCC9-26785439A9C2}"/>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181F47F9-7DDD-955D-48F9-4B070100F5FB}"/>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F8B316FC-3FBC-3AA2-F65E-97500584558E}"/>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FADCDC5F-93C0-9162-556D-34C71F7DC79F}"/>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C740F74F-68E6-B00B-7277-AF6EBDEA5B32}"/>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9</xdr:row>
      <xdr:rowOff>29690</xdr:rowOff>
    </xdr:from>
    <xdr:to>
      <xdr:col>0</xdr:col>
      <xdr:colOff>1709917</xdr:colOff>
      <xdr:row>9</xdr:row>
      <xdr:rowOff>524308</xdr:rowOff>
    </xdr:to>
    <xdr:grpSp>
      <xdr:nvGrpSpPr>
        <xdr:cNvPr id="14" name="Group 13">
          <a:extLst>
            <a:ext uri="{FF2B5EF4-FFF2-40B4-BE49-F238E27FC236}">
              <a16:creationId xmlns:a16="http://schemas.microsoft.com/office/drawing/2014/main" id="{9FE4E72B-E1DB-6D7D-7111-093D64F251CA}"/>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C9B14D48-B7D1-D258-3A0B-818BE9CD3DD6}"/>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D0921525-3AE5-3C63-B482-A4089C77F153}"/>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87A25C7F-A7E0-381B-9BF7-91E4BF80477B}"/>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D1CAE56B-EBAE-C80D-1244-6C9D59124A52}"/>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546647</xdr:rowOff>
    </xdr:from>
    <xdr:to>
      <xdr:col>0</xdr:col>
      <xdr:colOff>1709302</xdr:colOff>
      <xdr:row>10</xdr:row>
      <xdr:rowOff>450531</xdr:rowOff>
    </xdr:to>
    <xdr:grpSp>
      <xdr:nvGrpSpPr>
        <xdr:cNvPr id="15" name="Group 14">
          <a:extLst>
            <a:ext uri="{FF2B5EF4-FFF2-40B4-BE49-F238E27FC236}">
              <a16:creationId xmlns:a16="http://schemas.microsoft.com/office/drawing/2014/main" id="{675EB1EC-19B3-40B0-255C-EBA209190619}"/>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AD532779-1175-834A-7047-71EA33197558}"/>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6C64E52C-D2D5-D181-2926-E1B21995FDD9}"/>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624ACF5A-8EAE-6F6E-6F85-33D5BAC513E6}"/>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FDEAB08B-EA75-A98D-6E48-B16BAB1728F9}"/>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10</xdr:row>
      <xdr:rowOff>469448</xdr:rowOff>
    </xdr:from>
    <xdr:to>
      <xdr:col>0</xdr:col>
      <xdr:colOff>1709298</xdr:colOff>
      <xdr:row>11</xdr:row>
      <xdr:rowOff>222194</xdr:rowOff>
    </xdr:to>
    <xdr:grpSp>
      <xdr:nvGrpSpPr>
        <xdr:cNvPr id="16" name="Group 15">
          <a:extLst>
            <a:ext uri="{FF2B5EF4-FFF2-40B4-BE49-F238E27FC236}">
              <a16:creationId xmlns:a16="http://schemas.microsoft.com/office/drawing/2014/main" id="{3A96D7DD-5441-1E42-A8FB-F38C8D121AF2}"/>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01581B4C-1757-8D45-3A60-1331E49E5E0C}"/>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82DAEDD6-7AFC-52FA-B108-D840D6E41A9A}"/>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242BAD38-B80A-E01E-A373-6109D2929CC0}"/>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A20328CE-3FFA-99DD-05C2-C4F7C21F843F}"/>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240049</xdr:rowOff>
    </xdr:from>
    <xdr:to>
      <xdr:col>0</xdr:col>
      <xdr:colOff>1709296</xdr:colOff>
      <xdr:row>12</xdr:row>
      <xdr:rowOff>182217</xdr:rowOff>
    </xdr:to>
    <xdr:grpSp>
      <xdr:nvGrpSpPr>
        <xdr:cNvPr id="17" name="Group 16">
          <a:extLst>
            <a:ext uri="{FF2B5EF4-FFF2-40B4-BE49-F238E27FC236}">
              <a16:creationId xmlns:a16="http://schemas.microsoft.com/office/drawing/2014/main" id="{C4EF5FD3-33CD-03BA-87CE-507CFFF30514}"/>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7ADEDCE9-5247-1989-95F0-71F6A1588374}"/>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922CF97D-3F6F-A053-D04E-1521CAC9E9CA}"/>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F3F504A9-5B6E-9A52-4EA9-838F7077D584}"/>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E5ACF78C-A088-F15D-F9E6-7E5EF598E397}"/>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202007</xdr:rowOff>
    </xdr:from>
    <xdr:to>
      <xdr:col>0</xdr:col>
      <xdr:colOff>1708011</xdr:colOff>
      <xdr:row>12</xdr:row>
      <xdr:rowOff>659131</xdr:rowOff>
    </xdr:to>
    <xdr:grpSp>
      <xdr:nvGrpSpPr>
        <xdr:cNvPr id="18" name="Group 17">
          <a:extLst>
            <a:ext uri="{FF2B5EF4-FFF2-40B4-BE49-F238E27FC236}">
              <a16:creationId xmlns:a16="http://schemas.microsoft.com/office/drawing/2014/main" id="{AD9E9FCA-D5E1-2989-DCCF-787C48E5ECD3}"/>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DC8BBE87-A70A-6FCA-FB1C-440FC287BD6B}"/>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5BA60B44-BA29-E573-EC08-466CE1E4E7EC}"/>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B4C2B0C1-D954-5001-9A18-AA586584C1ED}"/>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A0BCCA18-F9E2-ADA6-F00D-647B5378BFCA}"/>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13</xdr:row>
      <xdr:rowOff>450493</xdr:rowOff>
    </xdr:from>
    <xdr:to>
      <xdr:col>0</xdr:col>
      <xdr:colOff>1708946</xdr:colOff>
      <xdr:row>14</xdr:row>
      <xdr:rowOff>363286</xdr:rowOff>
    </xdr:to>
    <xdr:grpSp>
      <xdr:nvGrpSpPr>
        <xdr:cNvPr id="19" name="Group 18">
          <a:extLst>
            <a:ext uri="{FF2B5EF4-FFF2-40B4-BE49-F238E27FC236}">
              <a16:creationId xmlns:a16="http://schemas.microsoft.com/office/drawing/2014/main" id="{67A61FAF-528F-22C9-A603-F4260E7F7A85}"/>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EBB9722E-DCEC-A186-D740-64EB095B24F4}"/>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7E79EE0F-789A-855D-9138-B380DD5FE7F6}"/>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E2FDD2D5-28FF-FEA3-F762-FC95747740E6}"/>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20CD84B3-4091-647E-7FD0-0C3C3E73C44A}"/>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14</xdr:row>
      <xdr:rowOff>390834</xdr:rowOff>
    </xdr:from>
    <xdr:to>
      <xdr:col>0</xdr:col>
      <xdr:colOff>1710873</xdr:colOff>
      <xdr:row>15</xdr:row>
      <xdr:rowOff>326829</xdr:rowOff>
    </xdr:to>
    <xdr:grpSp>
      <xdr:nvGrpSpPr>
        <xdr:cNvPr id="20" name="Group 19">
          <a:extLst>
            <a:ext uri="{FF2B5EF4-FFF2-40B4-BE49-F238E27FC236}">
              <a16:creationId xmlns:a16="http://schemas.microsoft.com/office/drawing/2014/main" id="{C3152728-8E0B-4FE0-C38F-96284C2857A2}"/>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43BB79E3-5CE4-7BA9-BEBA-19154B98EFFE}"/>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63D39F41-6F0F-3668-BCCF-40986E6C7CBF}"/>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DCC7BC20-C6FE-B1DA-63CD-9621BAD7E6EE}"/>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330737D5-1703-E022-7460-772F652BEAEC}"/>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15</xdr:row>
      <xdr:rowOff>350935</xdr:rowOff>
    </xdr:from>
    <xdr:to>
      <xdr:col>0</xdr:col>
      <xdr:colOff>1712157</xdr:colOff>
      <xdr:row>16</xdr:row>
      <xdr:rowOff>261217</xdr:rowOff>
    </xdr:to>
    <xdr:grpSp>
      <xdr:nvGrpSpPr>
        <xdr:cNvPr id="21" name="Group 20">
          <a:extLst>
            <a:ext uri="{FF2B5EF4-FFF2-40B4-BE49-F238E27FC236}">
              <a16:creationId xmlns:a16="http://schemas.microsoft.com/office/drawing/2014/main" id="{F284EE92-DFC4-D243-5953-2E10E8E85670}"/>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9E7BA2B7-4EAE-C895-183F-1086872C55E5}"/>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0F88C7E5-630A-1523-1A8E-44641F8CB67D}"/>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C1FF5211-B0C9-5AB8-5A8B-F79EC0DF5541}"/>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92A1817E-15C4-316A-ADF1-F21E8E743E1C}"/>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16</xdr:row>
      <xdr:rowOff>274005</xdr:rowOff>
    </xdr:from>
    <xdr:to>
      <xdr:col>0</xdr:col>
      <xdr:colOff>1713207</xdr:colOff>
      <xdr:row>17</xdr:row>
      <xdr:rowOff>209432</xdr:rowOff>
    </xdr:to>
    <xdr:grpSp>
      <xdr:nvGrpSpPr>
        <xdr:cNvPr id="22" name="Group 21">
          <a:extLst>
            <a:ext uri="{FF2B5EF4-FFF2-40B4-BE49-F238E27FC236}">
              <a16:creationId xmlns:a16="http://schemas.microsoft.com/office/drawing/2014/main" id="{62118509-2F01-05C8-35AB-A7D8CD968660}"/>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39FAF17E-3AA2-AB25-EE1D-053AD5AD31A9}"/>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581F295B-1857-9F11-0BBE-D5B63122CD2F}"/>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89C194CE-4FD0-5892-128A-CA3DEA341541}"/>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C8D0828D-30F7-3984-078B-F332C49F34EF}"/>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18</xdr:row>
      <xdr:rowOff>182190</xdr:rowOff>
    </xdr:from>
    <xdr:to>
      <xdr:col>0</xdr:col>
      <xdr:colOff>1711774</xdr:colOff>
      <xdr:row>19</xdr:row>
      <xdr:rowOff>96253</xdr:rowOff>
    </xdr:to>
    <xdr:grpSp>
      <xdr:nvGrpSpPr>
        <xdr:cNvPr id="23" name="Group 22">
          <a:extLst>
            <a:ext uri="{FF2B5EF4-FFF2-40B4-BE49-F238E27FC236}">
              <a16:creationId xmlns:a16="http://schemas.microsoft.com/office/drawing/2014/main" id="{8B15F802-0554-98BD-980D-6DC99D66F1EF}"/>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57B30893-4A3F-E2AB-CF9D-5FFD623E6D56}"/>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AA1195F1-0FD4-266B-634D-47424DDB2EEA}"/>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9FC85384-D4DB-6966-FA5A-D11EB989871C}"/>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B50724D4-3821-A54A-2E3A-8A72401DD6F1}"/>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17</xdr:row>
      <xdr:rowOff>227415</xdr:rowOff>
    </xdr:from>
    <xdr:to>
      <xdr:col>0</xdr:col>
      <xdr:colOff>1712537</xdr:colOff>
      <xdr:row>18</xdr:row>
      <xdr:rowOff>157911</xdr:rowOff>
    </xdr:to>
    <xdr:grpSp>
      <xdr:nvGrpSpPr>
        <xdr:cNvPr id="24" name="Group 23">
          <a:extLst>
            <a:ext uri="{FF2B5EF4-FFF2-40B4-BE49-F238E27FC236}">
              <a16:creationId xmlns:a16="http://schemas.microsoft.com/office/drawing/2014/main" id="{91EBEC2E-E1E5-EFF5-2F61-91154AB6A51F}"/>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7D34E003-83E0-58E4-8DA8-AF5D34AF9666}"/>
              </a:ext>
            </a:extLst>
          </xdr:cNvPr>
          <xdr:cNvSpPr/>
        </xdr:nvSpPr>
        <xdr:spPr>
          <a:xfrm>
            <a:off x="5586" y="9386073"/>
            <a:ext cx="1709047" cy="474846"/>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F9EB24B4-B480-B259-EEF9-1988103574D5}"/>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68" name="Oval 67">
            <a:extLst>
              <a:ext uri="{FF2B5EF4-FFF2-40B4-BE49-F238E27FC236}">
                <a16:creationId xmlns:a16="http://schemas.microsoft.com/office/drawing/2014/main" id="{5C9FC41B-F771-9CB5-AA57-DE5FAD7853EF}"/>
              </a:ext>
            </a:extLst>
          </xdr:cNvPr>
          <xdr:cNvSpPr/>
        </xdr:nvSpPr>
        <xdr:spPr>
          <a:xfrm>
            <a:off x="100172" y="9468416"/>
            <a:ext cx="286142" cy="309317"/>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57896435-A135-8591-9E02-D598CD68FC1D}"/>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Solid</a:t>
            </a:r>
            <a:r>
              <a:rPr lang="en-US" sz="1200" baseline="0">
                <a:solidFill>
                  <a:schemeClr val="bg1"/>
                </a:solidFill>
              </a:rPr>
              <a:t> Waste</a:t>
            </a:r>
            <a:endParaRPr lang="en-US" sz="1200">
              <a:solidFill>
                <a:schemeClr val="bg1"/>
              </a:solidFill>
            </a:endParaRPr>
          </a:p>
        </xdr:txBody>
      </xdr:sp>
    </xdr:grpSp>
    <xdr:clientData/>
  </xdr:twoCellAnchor>
  <xdr:twoCellAnchor>
    <xdr:from>
      <xdr:col>0</xdr:col>
      <xdr:colOff>3836</xdr:colOff>
      <xdr:row>19</xdr:row>
      <xdr:rowOff>104652</xdr:rowOff>
    </xdr:from>
    <xdr:to>
      <xdr:col>0</xdr:col>
      <xdr:colOff>1711005</xdr:colOff>
      <xdr:row>19</xdr:row>
      <xdr:rowOff>599899</xdr:rowOff>
    </xdr:to>
    <xdr:grpSp>
      <xdr:nvGrpSpPr>
        <xdr:cNvPr id="25" name="Group 24">
          <a:extLst>
            <a:ext uri="{FF2B5EF4-FFF2-40B4-BE49-F238E27FC236}">
              <a16:creationId xmlns:a16="http://schemas.microsoft.com/office/drawing/2014/main" id="{C9CA8FE0-3D88-A977-01C1-5116752BF99F}"/>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FF0541DA-D166-313F-1282-C66BCF9F5A71}"/>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2076D1D0-21E5-9752-6BDE-A579901470DA}"/>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F0897E81-96CE-6AB0-BA79-F8F67DF9AF46}"/>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9DAB93D6-C2D7-C391-47C6-1A8A0BECABF5}"/>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19</xdr:row>
      <xdr:rowOff>617216</xdr:rowOff>
    </xdr:from>
    <xdr:to>
      <xdr:col>0</xdr:col>
      <xdr:colOff>1712668</xdr:colOff>
      <xdr:row>20</xdr:row>
      <xdr:rowOff>336194</xdr:rowOff>
    </xdr:to>
    <xdr:grpSp>
      <xdr:nvGrpSpPr>
        <xdr:cNvPr id="27" name="Group 26">
          <a:extLst>
            <a:ext uri="{FF2B5EF4-FFF2-40B4-BE49-F238E27FC236}">
              <a16:creationId xmlns:a16="http://schemas.microsoft.com/office/drawing/2014/main" id="{D6B3A699-FB33-4022-E9B9-80CD577D5EBB}"/>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54877091-D97A-F381-7D24-348C39ECC245}"/>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C9B01D92-417A-CB2E-3E85-CD6A663514CE}"/>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EB8F003A-7E0E-A1D7-FDBC-00D967D0FD91}"/>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3EF6BC21-63D6-3D7A-C22B-1BFC764CB6F7}"/>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20</xdr:row>
      <xdr:rowOff>355032</xdr:rowOff>
    </xdr:from>
    <xdr:to>
      <xdr:col>0</xdr:col>
      <xdr:colOff>1711471</xdr:colOff>
      <xdr:row>22</xdr:row>
      <xdr:rowOff>106909</xdr:rowOff>
    </xdr:to>
    <xdr:grpSp>
      <xdr:nvGrpSpPr>
        <xdr:cNvPr id="28" name="Group 27">
          <a:extLst>
            <a:ext uri="{FF2B5EF4-FFF2-40B4-BE49-F238E27FC236}">
              <a16:creationId xmlns:a16="http://schemas.microsoft.com/office/drawing/2014/main" id="{1790D6A3-191F-B166-10CA-555D6FAF380D}"/>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369B58EF-D0AC-9AC7-C133-4FCBD32BFE6D}"/>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EA738A92-93CF-5593-8CC7-77A268B4EBD1}"/>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298EE5A7-6336-56C9-B3B9-7F83D0020544}"/>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911F05D7-3C5D-9D11-581A-C6428083C1A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12</xdr:row>
      <xdr:rowOff>678197</xdr:rowOff>
    </xdr:from>
    <xdr:to>
      <xdr:col>0</xdr:col>
      <xdr:colOff>1707169</xdr:colOff>
      <xdr:row>13</xdr:row>
      <xdr:rowOff>427016</xdr:rowOff>
    </xdr:to>
    <xdr:grpSp>
      <xdr:nvGrpSpPr>
        <xdr:cNvPr id="29" name="Group 28">
          <a:extLst>
            <a:ext uri="{FF2B5EF4-FFF2-40B4-BE49-F238E27FC236}">
              <a16:creationId xmlns:a16="http://schemas.microsoft.com/office/drawing/2014/main" id="{2AD0F97E-2456-79DE-432D-B565C20727F6}"/>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829B3055-0EB3-DB42-EE1A-7A66453A5AB3}"/>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71C2119A-0666-C604-4CDC-9E40492C37D4}"/>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CD74C2D3-8537-6C07-8295-F83184F522FB}"/>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28E8F409-2C7F-AB5C-D141-BDA5902BE343}"/>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22</xdr:row>
      <xdr:rowOff>119454</xdr:rowOff>
    </xdr:from>
    <xdr:to>
      <xdr:col>0</xdr:col>
      <xdr:colOff>1711953</xdr:colOff>
      <xdr:row>23</xdr:row>
      <xdr:rowOff>239631</xdr:rowOff>
    </xdr:to>
    <xdr:grpSp>
      <xdr:nvGrpSpPr>
        <xdr:cNvPr id="32" name="Group 31">
          <a:extLst>
            <a:ext uri="{FF2B5EF4-FFF2-40B4-BE49-F238E27FC236}">
              <a16:creationId xmlns:a16="http://schemas.microsoft.com/office/drawing/2014/main" id="{81CC3EF9-B5D7-4E8F-4CBB-80902705062B}"/>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BDA55D8B-1723-0A03-9B63-780B5E085020}"/>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40A931AE-16C8-FCBE-CC41-810725A9CCB2}"/>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409D493A-D1CC-707D-6E0E-CE4909DADBE1}"/>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901BBA04-12F6-2B67-986F-C453E81C50F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37BDE875-9D4F-411A-86F6-57C3EF310CAD}"/>
            </a:ext>
          </a:extLst>
        </xdr:cNvPr>
        <xdr:cNvGrpSpPr/>
      </xdr:nvGrpSpPr>
      <xdr:grpSpPr>
        <a:xfrm>
          <a:off x="979805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83BBD175-BD37-1C11-E573-D6B701487854}"/>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26F6C62A-F3F5-F807-6136-E0222879E8AA}"/>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23</xdr:row>
      <xdr:rowOff>266700</xdr:rowOff>
    </xdr:from>
    <xdr:to>
      <xdr:col>0</xdr:col>
      <xdr:colOff>1713549</xdr:colOff>
      <xdr:row>31</xdr:row>
      <xdr:rowOff>105784</xdr:rowOff>
    </xdr:to>
    <xdr:grpSp>
      <xdr:nvGrpSpPr>
        <xdr:cNvPr id="163" name="Group 162">
          <a:extLst>
            <a:ext uri="{FF2B5EF4-FFF2-40B4-BE49-F238E27FC236}">
              <a16:creationId xmlns:a16="http://schemas.microsoft.com/office/drawing/2014/main" id="{BA71A28C-E9F1-4CDE-AAC4-57F6D2AEB534}"/>
            </a:ext>
          </a:extLst>
        </xdr:cNvPr>
        <xdr:cNvGrpSpPr/>
      </xdr:nvGrpSpPr>
      <xdr:grpSpPr>
        <a:xfrm>
          <a:off x="0" y="12452350"/>
          <a:ext cx="1713549" cy="2233034"/>
          <a:chOff x="5137727" y="13144500"/>
          <a:chExt cx="1713549" cy="2252946"/>
        </a:xfrm>
      </xdr:grpSpPr>
      <xdr:grpSp>
        <xdr:nvGrpSpPr>
          <xdr:cNvPr id="164" name="Group 163">
            <a:extLst>
              <a:ext uri="{FF2B5EF4-FFF2-40B4-BE49-F238E27FC236}">
                <a16:creationId xmlns:a16="http://schemas.microsoft.com/office/drawing/2014/main" id="{EFA75DA6-B039-0EF9-C6B2-9E253B3D4141}"/>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D48909D1-A3A5-2424-512F-78B08B73BB9C}"/>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E872563A-FFE8-90AA-F27E-7683DD023292}"/>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9FCADAF1-09C8-CA8C-D9C9-1E29B6587975}"/>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AB69A4DC-8572-C67E-A844-ADE8B19ED346}"/>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4E723C77-1EC4-9326-F342-A0C2221EE98E}"/>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34222D88-D604-EFD0-6557-EB6768BDFF7F}"/>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C4038F5F-3D52-1F94-71C7-1C1ACEF3D506}"/>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34387C61-C330-D701-E01D-FEF56FB4B2EE}"/>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12D184C8-A580-2CA5-0E3C-92831F8C8A61}"/>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144FA83E-5D6B-5FDD-5182-4E71574A2D09}"/>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819F4543-2310-C300-BEA1-AE5DD7949817}"/>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115F582D-F282-2010-928F-89F48DBBEC79}"/>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1FD82C85-55EC-607D-1742-87396A6D71F5}"/>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20108E73-47A3-B2FB-B671-65FE5741FE8A}"/>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BEB93999-C746-5E9F-C887-644681C94EE0}"/>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EAB6CFE9-A153-3DA7-682B-CF1D12BAE76B}"/>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1C725AB5-6FD0-A451-605C-84D038E4A277}"/>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498808A9-32C6-11EA-6928-98B0A8F205F9}"/>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6928DD00-C99F-34E1-B3FE-FE1B6D1C232A}"/>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4F8945AE-CE35-E54A-F0DE-F48D2CBF21E6}"/>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25</xdr:row>
      <xdr:rowOff>381000</xdr:rowOff>
    </xdr:to>
    <xdr:sp macro="" textlink="">
      <xdr:nvSpPr>
        <xdr:cNvPr id="4" name="Rectangle: Rounded Corners 3">
          <a:extLst>
            <a:ext uri="{FF2B5EF4-FFF2-40B4-BE49-F238E27FC236}">
              <a16:creationId xmlns:a16="http://schemas.microsoft.com/office/drawing/2014/main" id="{48BE68C0-D393-0C08-4620-CE8148B3589B}"/>
            </a:ext>
          </a:extLst>
        </xdr:cNvPr>
        <xdr:cNvSpPr/>
      </xdr:nvSpPr>
      <xdr:spPr>
        <a:xfrm>
          <a:off x="0" y="0"/>
          <a:ext cx="1841776" cy="147764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94D5E7FE-46B6-3BA6-B1A6-D0E1C3A523A1}"/>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ABDC8060-D935-6286-5B29-B3C7147DF90B}"/>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CA2BD344-3B50-BD83-FAF6-E93D0F16C761}"/>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211D1A30-D78F-E416-FCF4-8ED5E3E47564}"/>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EE4757E4-2B38-9913-C4AF-ACA02C35C2A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2E387CA0-D59A-57A8-D72F-010DBA980A92}"/>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A9CD5315-B3E0-3428-5AE4-4CA14F3CFB51}"/>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82A0E612-C05D-2303-A7B9-C7E37455D14A}"/>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77CC6441-881D-61AE-6B1A-8D6505E54681}"/>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414839</xdr:rowOff>
    </xdr:from>
    <xdr:to>
      <xdr:col>0</xdr:col>
      <xdr:colOff>1717958</xdr:colOff>
      <xdr:row>6</xdr:row>
      <xdr:rowOff>310201</xdr:rowOff>
    </xdr:to>
    <xdr:grpSp>
      <xdr:nvGrpSpPr>
        <xdr:cNvPr id="8" name="Group 7">
          <a:extLst>
            <a:ext uri="{FF2B5EF4-FFF2-40B4-BE49-F238E27FC236}">
              <a16:creationId xmlns:a16="http://schemas.microsoft.com/office/drawing/2014/main" id="{C94665F8-F26F-772C-72D0-3C47B937F2A5}"/>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A89FBE98-40C7-C0E0-8FCB-6FFC6F04ADBD}"/>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7309E618-D816-7175-B011-FC6233353865}"/>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D080EE18-F10B-9BE6-B9C7-33A5FA0DEC2C}"/>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331852</xdr:rowOff>
    </xdr:from>
    <xdr:to>
      <xdr:col>0</xdr:col>
      <xdr:colOff>1715516</xdr:colOff>
      <xdr:row>6</xdr:row>
      <xdr:rowOff>777827</xdr:rowOff>
    </xdr:to>
    <xdr:grpSp>
      <xdr:nvGrpSpPr>
        <xdr:cNvPr id="9" name="Group 8">
          <a:extLst>
            <a:ext uri="{FF2B5EF4-FFF2-40B4-BE49-F238E27FC236}">
              <a16:creationId xmlns:a16="http://schemas.microsoft.com/office/drawing/2014/main" id="{A3B84DC8-2D33-2DAF-4952-371CA1CFF53E}"/>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5E3A1E49-5D3B-578C-4374-C26248A8CEEC}"/>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528BAEC0-10A0-20BD-8777-109899EC82D5}"/>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A9480C76-B43A-87AD-419B-AC439CCB9B0E}"/>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792106</xdr:rowOff>
    </xdr:from>
    <xdr:to>
      <xdr:col>0</xdr:col>
      <xdr:colOff>1713076</xdr:colOff>
      <xdr:row>7</xdr:row>
      <xdr:rowOff>146052</xdr:rowOff>
    </xdr:to>
    <xdr:grpSp>
      <xdr:nvGrpSpPr>
        <xdr:cNvPr id="10" name="Group 9">
          <a:extLst>
            <a:ext uri="{FF2B5EF4-FFF2-40B4-BE49-F238E27FC236}">
              <a16:creationId xmlns:a16="http://schemas.microsoft.com/office/drawing/2014/main" id="{3A666F7F-42E0-1F37-FF75-1A96A33195BB}"/>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C89CE7F8-1A21-35B2-0BED-C436CF55794C}"/>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B31C340C-573C-37CE-C625-A9ECDADB653F}"/>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B493F480-E6C7-972D-E876-3044BD7A2EA4}"/>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C47ED7F5-E41E-936C-7F65-B3DC7BD16790}"/>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394214</xdr:rowOff>
    </xdr:to>
    <xdr:grpSp>
      <xdr:nvGrpSpPr>
        <xdr:cNvPr id="11" name="Group 10">
          <a:extLst>
            <a:ext uri="{FF2B5EF4-FFF2-40B4-BE49-F238E27FC236}">
              <a16:creationId xmlns:a16="http://schemas.microsoft.com/office/drawing/2014/main" id="{C01A7F2D-8A84-2093-C473-9FA008885DEF}"/>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2FAE2B78-E32E-B1D9-7623-A4C5F6F22AA5}"/>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64F22251-4284-D245-C55C-D7B00DCC118F}"/>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FC9CFA6E-B720-FDE7-F209-0F258B1C01AF}"/>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159236</xdr:rowOff>
    </xdr:from>
    <xdr:to>
      <xdr:col>0</xdr:col>
      <xdr:colOff>1713094</xdr:colOff>
      <xdr:row>8</xdr:row>
      <xdr:rowOff>90305</xdr:rowOff>
    </xdr:to>
    <xdr:grpSp>
      <xdr:nvGrpSpPr>
        <xdr:cNvPr id="12" name="Group 11">
          <a:extLst>
            <a:ext uri="{FF2B5EF4-FFF2-40B4-BE49-F238E27FC236}">
              <a16:creationId xmlns:a16="http://schemas.microsoft.com/office/drawing/2014/main" id="{9D70FD63-F9FC-BF7B-7723-E7EA477E6CAA}"/>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A92646D2-9D5B-A0B4-33BF-27A3B8BAE5EC}"/>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9814619B-F116-73A2-A46D-10D8797A94F5}"/>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D1D3630D-29E9-24D6-A54A-0836E2C8A93B}"/>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B59F1D30-E014-62F0-CD35-1BA25939FDEF}"/>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103103</xdr:rowOff>
    </xdr:from>
    <xdr:to>
      <xdr:col>0</xdr:col>
      <xdr:colOff>1713246</xdr:colOff>
      <xdr:row>8</xdr:row>
      <xdr:rowOff>564910</xdr:rowOff>
    </xdr:to>
    <xdr:grpSp>
      <xdr:nvGrpSpPr>
        <xdr:cNvPr id="13" name="Group 12">
          <a:extLst>
            <a:ext uri="{FF2B5EF4-FFF2-40B4-BE49-F238E27FC236}">
              <a16:creationId xmlns:a16="http://schemas.microsoft.com/office/drawing/2014/main" id="{E0E4AE74-FF47-0E10-CD45-32BD6417688E}"/>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94041D57-3F8F-8E67-F62B-5DFB97C555BD}"/>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11A7459A-B771-F431-8010-80225BA755BB}"/>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DC23D829-2AA2-58E6-6397-7CF2511AF467}"/>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B0FEB33A-38BF-0BEB-C562-D3676A1F7B48}"/>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582140</xdr:rowOff>
    </xdr:from>
    <xdr:to>
      <xdr:col>0</xdr:col>
      <xdr:colOff>1709917</xdr:colOff>
      <xdr:row>9</xdr:row>
      <xdr:rowOff>340158</xdr:rowOff>
    </xdr:to>
    <xdr:grpSp>
      <xdr:nvGrpSpPr>
        <xdr:cNvPr id="14" name="Group 13">
          <a:extLst>
            <a:ext uri="{FF2B5EF4-FFF2-40B4-BE49-F238E27FC236}">
              <a16:creationId xmlns:a16="http://schemas.microsoft.com/office/drawing/2014/main" id="{6B6034C2-5ED4-ED55-88EF-5AAE02855EDF}"/>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2F3D5780-9889-8EB2-230C-790538137FC3}"/>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EC3F15DE-CABD-7821-2A38-E2250482F582}"/>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89FD8A9D-29E7-06C4-F2F5-CB3EFA20FCD0}"/>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C6E2A6E1-A4AE-E724-A8F7-03C28B15602D}"/>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362497</xdr:rowOff>
    </xdr:from>
    <xdr:to>
      <xdr:col>0</xdr:col>
      <xdr:colOff>1709302</xdr:colOff>
      <xdr:row>11</xdr:row>
      <xdr:rowOff>82231</xdr:rowOff>
    </xdr:to>
    <xdr:grpSp>
      <xdr:nvGrpSpPr>
        <xdr:cNvPr id="15" name="Group 14">
          <a:extLst>
            <a:ext uri="{FF2B5EF4-FFF2-40B4-BE49-F238E27FC236}">
              <a16:creationId xmlns:a16="http://schemas.microsoft.com/office/drawing/2014/main" id="{A67FA393-F4A2-F0B1-318B-1925907FF877}"/>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C2F76D3E-63FC-8839-1EA1-91F7ED302EE9}"/>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014B7ABE-E981-9C4F-DE7B-4BE7C0B6A9FB}"/>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655AE8F8-0F6C-679D-2FAF-A9C86A6DF6E5}"/>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1562853B-30B6-1CEB-6175-EB7EB5A7866D}"/>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11</xdr:row>
      <xdr:rowOff>101148</xdr:rowOff>
    </xdr:from>
    <xdr:to>
      <xdr:col>0</xdr:col>
      <xdr:colOff>1709298</xdr:colOff>
      <xdr:row>11</xdr:row>
      <xdr:rowOff>590494</xdr:rowOff>
    </xdr:to>
    <xdr:grpSp>
      <xdr:nvGrpSpPr>
        <xdr:cNvPr id="16" name="Group 15">
          <a:extLst>
            <a:ext uri="{FF2B5EF4-FFF2-40B4-BE49-F238E27FC236}">
              <a16:creationId xmlns:a16="http://schemas.microsoft.com/office/drawing/2014/main" id="{6EB0AF38-9E11-0A0A-AFD0-BC3EDBE02B39}"/>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7AEF119A-6648-6B71-C5A2-2C229524C0B7}"/>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C18E3512-1BAB-E329-3038-67E949D1133D}"/>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18D9A534-CD71-62DA-F5E7-86898175E0F1}"/>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432BFA3B-E04E-A2CD-81C9-B8FE76D6F85E}"/>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608349</xdr:rowOff>
    </xdr:from>
    <xdr:to>
      <xdr:col>0</xdr:col>
      <xdr:colOff>1709296</xdr:colOff>
      <xdr:row>12</xdr:row>
      <xdr:rowOff>366367</xdr:rowOff>
    </xdr:to>
    <xdr:grpSp>
      <xdr:nvGrpSpPr>
        <xdr:cNvPr id="17" name="Group 16">
          <a:extLst>
            <a:ext uri="{FF2B5EF4-FFF2-40B4-BE49-F238E27FC236}">
              <a16:creationId xmlns:a16="http://schemas.microsoft.com/office/drawing/2014/main" id="{BFCB2C63-425B-EC5F-2DA5-8407DAF2C404}"/>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F3F4ED23-2EFF-3A6B-CA60-E31E38046448}"/>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9E225991-ADD2-F186-BFEA-9CCE151DF8C3}"/>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13501F9C-3D3C-7AE8-D23F-383AAC6D80FD}"/>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0BB7F813-7F9A-B7A3-8BA0-01D52160E189}"/>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386157</xdr:rowOff>
    </xdr:from>
    <xdr:to>
      <xdr:col>0</xdr:col>
      <xdr:colOff>1708011</xdr:colOff>
      <xdr:row>12</xdr:row>
      <xdr:rowOff>843281</xdr:rowOff>
    </xdr:to>
    <xdr:grpSp>
      <xdr:nvGrpSpPr>
        <xdr:cNvPr id="18" name="Group 17">
          <a:extLst>
            <a:ext uri="{FF2B5EF4-FFF2-40B4-BE49-F238E27FC236}">
              <a16:creationId xmlns:a16="http://schemas.microsoft.com/office/drawing/2014/main" id="{7552FBC5-FEE4-2DAF-0B55-393903BF8BA7}"/>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64F7BCED-79C9-9CD2-13EF-1713D23514CF}"/>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923AF070-0434-E25D-1271-717986FB066A}"/>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F432E3BD-22B4-E4BD-7F9B-A0E12A7E2A90}"/>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9A06A556-CD2F-2C9B-CB8A-7E863349584F}"/>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13</xdr:row>
      <xdr:rowOff>450493</xdr:rowOff>
    </xdr:from>
    <xdr:to>
      <xdr:col>0</xdr:col>
      <xdr:colOff>1708946</xdr:colOff>
      <xdr:row>14</xdr:row>
      <xdr:rowOff>363286</xdr:rowOff>
    </xdr:to>
    <xdr:grpSp>
      <xdr:nvGrpSpPr>
        <xdr:cNvPr id="19" name="Group 18">
          <a:extLst>
            <a:ext uri="{FF2B5EF4-FFF2-40B4-BE49-F238E27FC236}">
              <a16:creationId xmlns:a16="http://schemas.microsoft.com/office/drawing/2014/main" id="{E3AFB41C-3BF1-A8E8-C977-0CBB87AA41C3}"/>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2773DE67-170E-36F8-4003-2F2701AFD8E3}"/>
              </a:ext>
            </a:extLst>
          </xdr:cNvPr>
          <xdr:cNvSpPr/>
        </xdr:nvSpPr>
        <xdr:spPr>
          <a:xfrm>
            <a:off x="1849" y="7427727"/>
            <a:ext cx="1709047" cy="451425"/>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D2D7FC24-24F4-C2B1-52BB-D727A1DA8B38}"/>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88" name="Oval 87">
            <a:extLst>
              <a:ext uri="{FF2B5EF4-FFF2-40B4-BE49-F238E27FC236}">
                <a16:creationId xmlns:a16="http://schemas.microsoft.com/office/drawing/2014/main" id="{118CF9A2-BDD1-81FD-9A7D-B489D27BFD52}"/>
              </a:ext>
            </a:extLst>
          </xdr:cNvPr>
          <xdr:cNvSpPr/>
        </xdr:nvSpPr>
        <xdr:spPr>
          <a:xfrm>
            <a:off x="96435" y="7505427"/>
            <a:ext cx="286142" cy="295221"/>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643F7866-CE10-CA39-DCDC-3453C28DCDE0}"/>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Clean</a:t>
            </a:r>
            <a:r>
              <a:rPr lang="en-US" sz="1200" baseline="0">
                <a:solidFill>
                  <a:schemeClr val="bg1"/>
                </a:solidFill>
              </a:rPr>
              <a:t> Air</a:t>
            </a:r>
            <a:r>
              <a:rPr lang="en-US" sz="1200">
                <a:solidFill>
                  <a:schemeClr val="bg1"/>
                </a:solidFill>
              </a:rPr>
              <a:t> </a:t>
            </a:r>
          </a:p>
        </xdr:txBody>
      </xdr:sp>
    </xdr:grpSp>
    <xdr:clientData/>
  </xdr:twoCellAnchor>
  <xdr:twoCellAnchor>
    <xdr:from>
      <xdr:col>0</xdr:col>
      <xdr:colOff>3704</xdr:colOff>
      <xdr:row>14</xdr:row>
      <xdr:rowOff>390834</xdr:rowOff>
    </xdr:from>
    <xdr:to>
      <xdr:col>0</xdr:col>
      <xdr:colOff>1710873</xdr:colOff>
      <xdr:row>15</xdr:row>
      <xdr:rowOff>326829</xdr:rowOff>
    </xdr:to>
    <xdr:grpSp>
      <xdr:nvGrpSpPr>
        <xdr:cNvPr id="20" name="Group 19">
          <a:extLst>
            <a:ext uri="{FF2B5EF4-FFF2-40B4-BE49-F238E27FC236}">
              <a16:creationId xmlns:a16="http://schemas.microsoft.com/office/drawing/2014/main" id="{B8A25782-4224-7921-8096-4FBEE1DFA9C0}"/>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C9D81931-0ED0-0396-05AC-233C40DB79BB}"/>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2AE12CF9-39E2-EFFC-4EC7-BE5CD9C80069}"/>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34D87338-517B-B98A-8635-A0C9383DB65D}"/>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378EC938-BC36-8768-AA3B-CAAEA59A8A77}"/>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15</xdr:row>
      <xdr:rowOff>350935</xdr:rowOff>
    </xdr:from>
    <xdr:to>
      <xdr:col>0</xdr:col>
      <xdr:colOff>1712157</xdr:colOff>
      <xdr:row>16</xdr:row>
      <xdr:rowOff>261217</xdr:rowOff>
    </xdr:to>
    <xdr:grpSp>
      <xdr:nvGrpSpPr>
        <xdr:cNvPr id="21" name="Group 20">
          <a:extLst>
            <a:ext uri="{FF2B5EF4-FFF2-40B4-BE49-F238E27FC236}">
              <a16:creationId xmlns:a16="http://schemas.microsoft.com/office/drawing/2014/main" id="{482F9611-73E5-E7BE-4F67-FA74FE168675}"/>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078165E3-857D-A102-D759-F48226FBEECF}"/>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66A05DED-DCB6-CEEB-294F-DDF1BCD66A88}"/>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2730A52D-8DAA-A19D-EDEC-FC2A7BD4FE21}"/>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EFCEB239-D094-D4A9-E2D3-4EF432707F81}"/>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16</xdr:row>
      <xdr:rowOff>274005</xdr:rowOff>
    </xdr:from>
    <xdr:to>
      <xdr:col>0</xdr:col>
      <xdr:colOff>1713207</xdr:colOff>
      <xdr:row>16</xdr:row>
      <xdr:rowOff>761882</xdr:rowOff>
    </xdr:to>
    <xdr:grpSp>
      <xdr:nvGrpSpPr>
        <xdr:cNvPr id="22" name="Group 21">
          <a:extLst>
            <a:ext uri="{FF2B5EF4-FFF2-40B4-BE49-F238E27FC236}">
              <a16:creationId xmlns:a16="http://schemas.microsoft.com/office/drawing/2014/main" id="{74819FD4-D507-4D00-3138-80B6E11468AF}"/>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1181FA9E-3C36-CDD9-B6BB-2DA478253FA3}"/>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EECC5149-9BB8-6936-90AB-DCDD1FEF964C}"/>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B36FC73A-128D-A26A-6797-8922B7817057}"/>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92B0CB60-23B7-1500-9B00-D6A9FC30457F}"/>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18</xdr:row>
      <xdr:rowOff>182190</xdr:rowOff>
    </xdr:from>
    <xdr:to>
      <xdr:col>0</xdr:col>
      <xdr:colOff>1711774</xdr:colOff>
      <xdr:row>19</xdr:row>
      <xdr:rowOff>280403</xdr:rowOff>
    </xdr:to>
    <xdr:grpSp>
      <xdr:nvGrpSpPr>
        <xdr:cNvPr id="23" name="Group 22">
          <a:extLst>
            <a:ext uri="{FF2B5EF4-FFF2-40B4-BE49-F238E27FC236}">
              <a16:creationId xmlns:a16="http://schemas.microsoft.com/office/drawing/2014/main" id="{02AEBFBE-75CE-FAE8-B2D2-3F18EE8457F2}"/>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B39C58A4-CA5E-4D12-D96E-3761A94553B2}"/>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DC97A62B-8AA6-B86B-DD80-9C44710B234C}"/>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DF208238-0DAD-583F-4E86-1FD73E76C2D2}"/>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A97816B8-2C90-0B8E-156D-E691947DF603}"/>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16</xdr:row>
      <xdr:rowOff>779865</xdr:rowOff>
    </xdr:from>
    <xdr:to>
      <xdr:col>0</xdr:col>
      <xdr:colOff>1712537</xdr:colOff>
      <xdr:row>18</xdr:row>
      <xdr:rowOff>157911</xdr:rowOff>
    </xdr:to>
    <xdr:grpSp>
      <xdr:nvGrpSpPr>
        <xdr:cNvPr id="24" name="Group 23">
          <a:extLst>
            <a:ext uri="{FF2B5EF4-FFF2-40B4-BE49-F238E27FC236}">
              <a16:creationId xmlns:a16="http://schemas.microsoft.com/office/drawing/2014/main" id="{AFF6EB7C-D100-37AE-6632-E1358CA87310}"/>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361B1F81-C9A7-FD11-8E42-BEB695369117}"/>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32389DCC-AF3E-F8D4-4A3A-77AF24D4D9BF}"/>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FF381033-3777-BBE9-0731-E080AA81AC9E}"/>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909F11DD-727E-93F1-6A7C-E40EB11715B7}"/>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19</xdr:row>
      <xdr:rowOff>288802</xdr:rowOff>
    </xdr:from>
    <xdr:to>
      <xdr:col>0</xdr:col>
      <xdr:colOff>1711005</xdr:colOff>
      <xdr:row>19</xdr:row>
      <xdr:rowOff>784049</xdr:rowOff>
    </xdr:to>
    <xdr:grpSp>
      <xdr:nvGrpSpPr>
        <xdr:cNvPr id="25" name="Group 24">
          <a:extLst>
            <a:ext uri="{FF2B5EF4-FFF2-40B4-BE49-F238E27FC236}">
              <a16:creationId xmlns:a16="http://schemas.microsoft.com/office/drawing/2014/main" id="{C7AA5702-F717-E744-D0AE-079A694F2AA0}"/>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CA938252-DEC4-8A1D-D07F-F5BDE1290D26}"/>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36BF1133-EFD5-8862-FFB8-6A070FFF2637}"/>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E6AB8DD5-A531-F078-393C-F6A4CD195D05}"/>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06D51601-11D7-E92B-1158-09FB398E412C}"/>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19</xdr:row>
      <xdr:rowOff>801366</xdr:rowOff>
    </xdr:from>
    <xdr:to>
      <xdr:col>0</xdr:col>
      <xdr:colOff>1712668</xdr:colOff>
      <xdr:row>20</xdr:row>
      <xdr:rowOff>336194</xdr:rowOff>
    </xdr:to>
    <xdr:grpSp>
      <xdr:nvGrpSpPr>
        <xdr:cNvPr id="27" name="Group 26">
          <a:extLst>
            <a:ext uri="{FF2B5EF4-FFF2-40B4-BE49-F238E27FC236}">
              <a16:creationId xmlns:a16="http://schemas.microsoft.com/office/drawing/2014/main" id="{115EB9C2-2F2D-4E8B-F844-B82233BFD9F7}"/>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7C5EBCD2-61CE-8F0E-C184-FF0D55617AB3}"/>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157C690B-2BB4-76C6-17FD-B2F239EE708E}"/>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085AAD14-9F8C-DCD5-3E4C-D99D0ACCD094}"/>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4610AF34-596D-D482-8ABE-E1A700905627}"/>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20</xdr:row>
      <xdr:rowOff>355032</xdr:rowOff>
    </xdr:from>
    <xdr:to>
      <xdr:col>0</xdr:col>
      <xdr:colOff>1711471</xdr:colOff>
      <xdr:row>21</xdr:row>
      <xdr:rowOff>291059</xdr:rowOff>
    </xdr:to>
    <xdr:grpSp>
      <xdr:nvGrpSpPr>
        <xdr:cNvPr id="28" name="Group 27">
          <a:extLst>
            <a:ext uri="{FF2B5EF4-FFF2-40B4-BE49-F238E27FC236}">
              <a16:creationId xmlns:a16="http://schemas.microsoft.com/office/drawing/2014/main" id="{E7133C8E-D07E-2435-7FFD-1476F2608520}"/>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4F4C1904-B5B9-6F0F-7A4F-B0FBB539C770}"/>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6F8DA746-42E6-6177-D73C-DFDE1F2B9AD9}"/>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D45EE21E-FD50-469C-8D94-869F9531BFB8}"/>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113979AB-E069-CA7A-D660-9F0B2AD9711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12</xdr:row>
      <xdr:rowOff>862347</xdr:rowOff>
    </xdr:from>
    <xdr:to>
      <xdr:col>0</xdr:col>
      <xdr:colOff>1707169</xdr:colOff>
      <xdr:row>13</xdr:row>
      <xdr:rowOff>427016</xdr:rowOff>
    </xdr:to>
    <xdr:grpSp>
      <xdr:nvGrpSpPr>
        <xdr:cNvPr id="29" name="Group 28">
          <a:extLst>
            <a:ext uri="{FF2B5EF4-FFF2-40B4-BE49-F238E27FC236}">
              <a16:creationId xmlns:a16="http://schemas.microsoft.com/office/drawing/2014/main" id="{B72EAFBF-F7B9-2980-1954-42BD868BB03B}"/>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37F5CD50-7630-DB1F-C36D-2D339363B3EA}"/>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E9F6B2EB-A435-52EB-2E36-FE1A30FF4105}"/>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AAB4229C-5690-3AA9-F68E-F90657C23F52}"/>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5E151ADB-6FB1-E66A-9FA5-379C4A388F5F}"/>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21</xdr:row>
      <xdr:rowOff>303604</xdr:rowOff>
    </xdr:from>
    <xdr:to>
      <xdr:col>0</xdr:col>
      <xdr:colOff>1711953</xdr:colOff>
      <xdr:row>22</xdr:row>
      <xdr:rowOff>239631</xdr:rowOff>
    </xdr:to>
    <xdr:grpSp>
      <xdr:nvGrpSpPr>
        <xdr:cNvPr id="32" name="Group 31">
          <a:extLst>
            <a:ext uri="{FF2B5EF4-FFF2-40B4-BE49-F238E27FC236}">
              <a16:creationId xmlns:a16="http://schemas.microsoft.com/office/drawing/2014/main" id="{53C4AB38-ED49-36DB-DEED-B3A919847B1D}"/>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5B72C6C6-8D21-7AF2-FD64-51DFB2D40FA2}"/>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86F062B5-11D3-A77C-0D34-97A32F9B6ECE}"/>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5E66B059-2F0F-AFAB-ABDC-6DF23EBA4C2F}"/>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3F318EF5-4F82-96EC-4915-1A53321804DB}"/>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C3BCF400-70C0-420E-A407-BAC77CDF5173}"/>
            </a:ext>
          </a:extLst>
        </xdr:cNvPr>
        <xdr:cNvGrpSpPr/>
      </xdr:nvGrpSpPr>
      <xdr:grpSpPr>
        <a:xfrm>
          <a:off x="1029335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469F14BF-23E1-8C01-3BAB-2DDEEDB4AE72}"/>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0D938038-F5F2-63FD-41D7-7C7104BFBB83}"/>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22</xdr:row>
      <xdr:rowOff>260350</xdr:rowOff>
    </xdr:from>
    <xdr:to>
      <xdr:col>0</xdr:col>
      <xdr:colOff>1713549</xdr:colOff>
      <xdr:row>25</xdr:row>
      <xdr:rowOff>283584</xdr:rowOff>
    </xdr:to>
    <xdr:grpSp>
      <xdr:nvGrpSpPr>
        <xdr:cNvPr id="2" name="Group 1">
          <a:extLst>
            <a:ext uri="{FF2B5EF4-FFF2-40B4-BE49-F238E27FC236}">
              <a16:creationId xmlns:a16="http://schemas.microsoft.com/office/drawing/2014/main" id="{F040C0D0-D272-4CE1-927A-775F3831DB34}"/>
            </a:ext>
          </a:extLst>
        </xdr:cNvPr>
        <xdr:cNvGrpSpPr/>
      </xdr:nvGrpSpPr>
      <xdr:grpSpPr>
        <a:xfrm>
          <a:off x="0" y="12446000"/>
          <a:ext cx="1713549" cy="2233034"/>
          <a:chOff x="5137727" y="13144500"/>
          <a:chExt cx="1713549" cy="2252946"/>
        </a:xfrm>
      </xdr:grpSpPr>
      <xdr:grpSp>
        <xdr:nvGrpSpPr>
          <xdr:cNvPr id="137" name="Group 136">
            <a:extLst>
              <a:ext uri="{FF2B5EF4-FFF2-40B4-BE49-F238E27FC236}">
                <a16:creationId xmlns:a16="http://schemas.microsoft.com/office/drawing/2014/main" id="{A4F5AD19-E06A-2A5E-C705-E83E2708EBCA}"/>
              </a:ext>
            </a:extLst>
          </xdr:cNvPr>
          <xdr:cNvGrpSpPr/>
        </xdr:nvGrpSpPr>
        <xdr:grpSpPr>
          <a:xfrm>
            <a:off x="5144107" y="13624532"/>
            <a:ext cx="1707169" cy="465099"/>
            <a:chOff x="3415" y="11846315"/>
            <a:chExt cx="1725184" cy="456487"/>
          </a:xfrm>
        </xdr:grpSpPr>
        <xdr:sp macro="" textlink="">
          <xdr:nvSpPr>
            <xdr:cNvPr id="154" name="Rectangle: Rounded Corners 153">
              <a:extLst>
                <a:ext uri="{FF2B5EF4-FFF2-40B4-BE49-F238E27FC236}">
                  <a16:creationId xmlns:a16="http://schemas.microsoft.com/office/drawing/2014/main" id="{B213E72F-70D4-CE5F-7411-0C523C853766}"/>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55" name="TextBox 154">
              <a:hlinkClick xmlns:r="http://schemas.openxmlformats.org/officeDocument/2006/relationships" r:id="rId23"/>
              <a:extLst>
                <a:ext uri="{FF2B5EF4-FFF2-40B4-BE49-F238E27FC236}">
                  <a16:creationId xmlns:a16="http://schemas.microsoft.com/office/drawing/2014/main" id="{EEEC5E1F-54BE-A5A5-9700-085B58A21329}"/>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56" name="Oval 155">
              <a:extLst>
                <a:ext uri="{FF2B5EF4-FFF2-40B4-BE49-F238E27FC236}">
                  <a16:creationId xmlns:a16="http://schemas.microsoft.com/office/drawing/2014/main" id="{160B6DAF-03DB-9297-5C38-A5B34F3227A9}"/>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57" name="TextBox 156">
              <a:hlinkClick xmlns:r="http://schemas.openxmlformats.org/officeDocument/2006/relationships" r:id="rId31"/>
              <a:extLst>
                <a:ext uri="{FF2B5EF4-FFF2-40B4-BE49-F238E27FC236}">
                  <a16:creationId xmlns:a16="http://schemas.microsoft.com/office/drawing/2014/main" id="{6A4B00F0-552B-4BEA-F5CD-857F121C5BB6}"/>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38" name="Group 137">
            <a:extLst>
              <a:ext uri="{FF2B5EF4-FFF2-40B4-BE49-F238E27FC236}">
                <a16:creationId xmlns:a16="http://schemas.microsoft.com/office/drawing/2014/main" id="{C79CCA72-12BF-930E-B93D-68ADEA36B286}"/>
              </a:ext>
            </a:extLst>
          </xdr:cNvPr>
          <xdr:cNvGrpSpPr/>
        </xdr:nvGrpSpPr>
        <xdr:grpSpPr>
          <a:xfrm>
            <a:off x="5141639" y="14111307"/>
            <a:ext cx="1707169" cy="494728"/>
            <a:chOff x="847" y="12324893"/>
            <a:chExt cx="1725184" cy="486884"/>
          </a:xfrm>
        </xdr:grpSpPr>
        <xdr:sp macro="" textlink="">
          <xdr:nvSpPr>
            <xdr:cNvPr id="150" name="Rectangle: Rounded Corners 149">
              <a:extLst>
                <a:ext uri="{FF2B5EF4-FFF2-40B4-BE49-F238E27FC236}">
                  <a16:creationId xmlns:a16="http://schemas.microsoft.com/office/drawing/2014/main" id="{6CF46528-078E-AC64-A66F-DDF8EB17A2E1}"/>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51" name="TextBox 150">
              <a:hlinkClick xmlns:r="http://schemas.openxmlformats.org/officeDocument/2006/relationships" r:id="rId32"/>
              <a:extLst>
                <a:ext uri="{FF2B5EF4-FFF2-40B4-BE49-F238E27FC236}">
                  <a16:creationId xmlns:a16="http://schemas.microsoft.com/office/drawing/2014/main" id="{0A62CDDB-1104-52BB-968F-EA999D915F9A}"/>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52" name="Oval 151">
              <a:extLst>
                <a:ext uri="{FF2B5EF4-FFF2-40B4-BE49-F238E27FC236}">
                  <a16:creationId xmlns:a16="http://schemas.microsoft.com/office/drawing/2014/main" id="{E33E7AF1-BA19-3DCE-4602-18754FB46077}"/>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53" name="TextBox 152">
              <a:hlinkClick xmlns:r="http://schemas.openxmlformats.org/officeDocument/2006/relationships" r:id="rId32"/>
              <a:extLst>
                <a:ext uri="{FF2B5EF4-FFF2-40B4-BE49-F238E27FC236}">
                  <a16:creationId xmlns:a16="http://schemas.microsoft.com/office/drawing/2014/main" id="{0D919C2E-3AC7-4F42-F1E3-06999F5293E9}"/>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39" name="TextBox 138">
            <a:extLst>
              <a:ext uri="{FF2B5EF4-FFF2-40B4-BE49-F238E27FC236}">
                <a16:creationId xmlns:a16="http://schemas.microsoft.com/office/drawing/2014/main" id="{4627E3CD-8582-EC20-B312-C1281F784AD7}"/>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40" name="Group 139">
            <a:extLst>
              <a:ext uri="{FF2B5EF4-FFF2-40B4-BE49-F238E27FC236}">
                <a16:creationId xmlns:a16="http://schemas.microsoft.com/office/drawing/2014/main" id="{790AA653-A063-D193-0D6A-01730128306D}"/>
              </a:ext>
            </a:extLst>
          </xdr:cNvPr>
          <xdr:cNvGrpSpPr/>
        </xdr:nvGrpSpPr>
        <xdr:grpSpPr>
          <a:xfrm>
            <a:off x="5138008" y="14617043"/>
            <a:ext cx="1708983" cy="494290"/>
            <a:chOff x="847" y="12324893"/>
            <a:chExt cx="1725184" cy="486884"/>
          </a:xfrm>
        </xdr:grpSpPr>
        <xdr:sp macro="" textlink="">
          <xdr:nvSpPr>
            <xdr:cNvPr id="146" name="Rectangle: Rounded Corners 145">
              <a:extLst>
                <a:ext uri="{FF2B5EF4-FFF2-40B4-BE49-F238E27FC236}">
                  <a16:creationId xmlns:a16="http://schemas.microsoft.com/office/drawing/2014/main" id="{4A7753A8-6398-A8D1-7C43-62047FE8DC66}"/>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7" name="TextBox 146">
              <a:hlinkClick xmlns:r="http://schemas.openxmlformats.org/officeDocument/2006/relationships" r:id="rId33"/>
              <a:extLst>
                <a:ext uri="{FF2B5EF4-FFF2-40B4-BE49-F238E27FC236}">
                  <a16:creationId xmlns:a16="http://schemas.microsoft.com/office/drawing/2014/main" id="{98C20CC0-D447-7621-D6B3-FBAE563326D3}"/>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48" name="Oval 147">
              <a:extLst>
                <a:ext uri="{FF2B5EF4-FFF2-40B4-BE49-F238E27FC236}">
                  <a16:creationId xmlns:a16="http://schemas.microsoft.com/office/drawing/2014/main" id="{7172FC31-EC7F-2ECF-1A86-C0CE3465C36B}"/>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49" name="TextBox 148">
              <a:hlinkClick xmlns:r="http://schemas.openxmlformats.org/officeDocument/2006/relationships" r:id="rId33"/>
              <a:extLst>
                <a:ext uri="{FF2B5EF4-FFF2-40B4-BE49-F238E27FC236}">
                  <a16:creationId xmlns:a16="http://schemas.microsoft.com/office/drawing/2014/main" id="{2F734C4A-01CB-1A44-F344-227E87104768}"/>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41" name="Group 140">
            <a:extLst>
              <a:ext uri="{FF2B5EF4-FFF2-40B4-BE49-F238E27FC236}">
                <a16:creationId xmlns:a16="http://schemas.microsoft.com/office/drawing/2014/main" id="{5EA3F0FB-A658-55BE-C4C0-BB1301885371}"/>
              </a:ext>
            </a:extLst>
          </xdr:cNvPr>
          <xdr:cNvGrpSpPr/>
        </xdr:nvGrpSpPr>
        <xdr:grpSpPr>
          <a:xfrm>
            <a:off x="5137727" y="13144500"/>
            <a:ext cx="1707169" cy="464661"/>
            <a:chOff x="3415" y="11846315"/>
            <a:chExt cx="1725184" cy="456487"/>
          </a:xfrm>
        </xdr:grpSpPr>
        <xdr:sp macro="" textlink="">
          <xdr:nvSpPr>
            <xdr:cNvPr id="142" name="Rectangle: Rounded Corners 141">
              <a:hlinkClick xmlns:r="http://schemas.openxmlformats.org/officeDocument/2006/relationships" r:id="rId34"/>
              <a:extLst>
                <a:ext uri="{FF2B5EF4-FFF2-40B4-BE49-F238E27FC236}">
                  <a16:creationId xmlns:a16="http://schemas.microsoft.com/office/drawing/2014/main" id="{10D126D1-D465-157C-ABAD-4A721DA70578}"/>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43" name="TextBox 142">
              <a:hlinkClick xmlns:r="http://schemas.openxmlformats.org/officeDocument/2006/relationships" r:id="rId34"/>
              <a:extLst>
                <a:ext uri="{FF2B5EF4-FFF2-40B4-BE49-F238E27FC236}">
                  <a16:creationId xmlns:a16="http://schemas.microsoft.com/office/drawing/2014/main" id="{AA4E7C48-D43C-7B4F-57C8-E91FD4B879B7}"/>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44" name="Oval 143">
              <a:hlinkClick xmlns:r="http://schemas.openxmlformats.org/officeDocument/2006/relationships" r:id="rId34"/>
              <a:extLst>
                <a:ext uri="{FF2B5EF4-FFF2-40B4-BE49-F238E27FC236}">
                  <a16:creationId xmlns:a16="http://schemas.microsoft.com/office/drawing/2014/main" id="{5411834D-0906-C9C2-81CC-E6999F1F76F9}"/>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45" name="TextBox 144">
              <a:hlinkClick xmlns:r="http://schemas.openxmlformats.org/officeDocument/2006/relationships" r:id="rId34"/>
              <a:extLst>
                <a:ext uri="{FF2B5EF4-FFF2-40B4-BE49-F238E27FC236}">
                  <a16:creationId xmlns:a16="http://schemas.microsoft.com/office/drawing/2014/main" id="{9E0BFE00-FDD8-1A15-C151-1AC476B57C3B}"/>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51</xdr:row>
      <xdr:rowOff>6350</xdr:rowOff>
    </xdr:to>
    <xdr:sp macro="" textlink="">
      <xdr:nvSpPr>
        <xdr:cNvPr id="4" name="Rectangle: Rounded Corners 3">
          <a:extLst>
            <a:ext uri="{FF2B5EF4-FFF2-40B4-BE49-F238E27FC236}">
              <a16:creationId xmlns:a16="http://schemas.microsoft.com/office/drawing/2014/main" id="{697DC90E-BF88-4067-0E0E-89FE10B8B511}"/>
            </a:ext>
          </a:extLst>
        </xdr:cNvPr>
        <xdr:cNvSpPr/>
      </xdr:nvSpPr>
      <xdr:spPr>
        <a:xfrm>
          <a:off x="0" y="0"/>
          <a:ext cx="1841776" cy="149542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32610C4A-2937-03B6-5AD9-15EAF7854A0D}"/>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58C982DD-D830-3F0C-F03B-FF38C96F681F}"/>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DFBDB385-B772-66DB-2A7B-AB77B25B9B3C}"/>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463A7D9F-D6BE-683F-873B-79B6F202C72F}"/>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85165E42-EB7A-4FA6-FB76-CC9D9A52861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437424</xdr:rowOff>
    </xdr:to>
    <xdr:grpSp>
      <xdr:nvGrpSpPr>
        <xdr:cNvPr id="7" name="Group 6">
          <a:extLst>
            <a:ext uri="{FF2B5EF4-FFF2-40B4-BE49-F238E27FC236}">
              <a16:creationId xmlns:a16="http://schemas.microsoft.com/office/drawing/2014/main" id="{89F1A7C5-0DBF-B8DA-FB0C-587DE81BC011}"/>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E5FB3EDA-31FE-8006-D533-36943795050C}"/>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891E533F-D54A-FF96-7BE6-40BF7962873B}"/>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B0202320-5E41-EEB5-2F0A-7531563905E1}"/>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230689</xdr:rowOff>
    </xdr:from>
    <xdr:to>
      <xdr:col>0</xdr:col>
      <xdr:colOff>1717958</xdr:colOff>
      <xdr:row>6</xdr:row>
      <xdr:rowOff>310201</xdr:rowOff>
    </xdr:to>
    <xdr:grpSp>
      <xdr:nvGrpSpPr>
        <xdr:cNvPr id="8" name="Group 7">
          <a:extLst>
            <a:ext uri="{FF2B5EF4-FFF2-40B4-BE49-F238E27FC236}">
              <a16:creationId xmlns:a16="http://schemas.microsoft.com/office/drawing/2014/main" id="{03D16099-944E-9933-9601-25545EDCDD5A}"/>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29FEC4FC-A62A-289D-3526-0F1449B326E4}"/>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8D2F6FE6-CFD4-DDAE-917C-968501561D30}"/>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FD595FCA-074A-7775-4C11-541827D51A94}"/>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331852</xdr:rowOff>
    </xdr:from>
    <xdr:to>
      <xdr:col>0</xdr:col>
      <xdr:colOff>1715516</xdr:colOff>
      <xdr:row>7</xdr:row>
      <xdr:rowOff>225377</xdr:rowOff>
    </xdr:to>
    <xdr:grpSp>
      <xdr:nvGrpSpPr>
        <xdr:cNvPr id="9" name="Group 8">
          <a:extLst>
            <a:ext uri="{FF2B5EF4-FFF2-40B4-BE49-F238E27FC236}">
              <a16:creationId xmlns:a16="http://schemas.microsoft.com/office/drawing/2014/main" id="{B60A6158-9982-7F25-283A-40206AECC24A}"/>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5064D249-E66F-F45C-3B17-2BAD1D2DDDDC}"/>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D18BAA7D-4E67-F1DB-1BAD-B4238C32E20A}"/>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D76C38B2-F5E3-D70E-32DF-619F3889B627}"/>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7</xdr:row>
      <xdr:rowOff>239656</xdr:rowOff>
    </xdr:from>
    <xdr:to>
      <xdr:col>0</xdr:col>
      <xdr:colOff>1713076</xdr:colOff>
      <xdr:row>8</xdr:row>
      <xdr:rowOff>330202</xdr:rowOff>
    </xdr:to>
    <xdr:grpSp>
      <xdr:nvGrpSpPr>
        <xdr:cNvPr id="10" name="Group 9">
          <a:extLst>
            <a:ext uri="{FF2B5EF4-FFF2-40B4-BE49-F238E27FC236}">
              <a16:creationId xmlns:a16="http://schemas.microsoft.com/office/drawing/2014/main" id="{35DA0E4A-397E-4F49-E558-24D662D2AD15}"/>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EEAABAE9-B54A-4F5A-166D-FAED07664436}"/>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A38CA9F0-082A-0A6C-2869-96B36177D4E4}"/>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D9DC196C-FEBD-B5EE-B66C-EAF4B2E1F8E2}"/>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67580073-7810-6E5B-AC76-C313C14368C6}"/>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459725</xdr:rowOff>
    </xdr:from>
    <xdr:to>
      <xdr:col>0</xdr:col>
      <xdr:colOff>1716667</xdr:colOff>
      <xdr:row>5</xdr:row>
      <xdr:rowOff>210064</xdr:rowOff>
    </xdr:to>
    <xdr:grpSp>
      <xdr:nvGrpSpPr>
        <xdr:cNvPr id="11" name="Group 10">
          <a:extLst>
            <a:ext uri="{FF2B5EF4-FFF2-40B4-BE49-F238E27FC236}">
              <a16:creationId xmlns:a16="http://schemas.microsoft.com/office/drawing/2014/main" id="{82620EBA-D3F8-56E4-251B-64CA99218341}"/>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3B24F201-F7F1-4894-0253-5E0506D075BC}"/>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B9CF5511-BA4D-B2F2-3E88-6125D7A4FA81}"/>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CC46B0CB-2BDF-3C4E-F4D6-4447C4AE0A34}"/>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8</xdr:row>
      <xdr:rowOff>343386</xdr:rowOff>
    </xdr:from>
    <xdr:to>
      <xdr:col>0</xdr:col>
      <xdr:colOff>1713094</xdr:colOff>
      <xdr:row>9</xdr:row>
      <xdr:rowOff>274455</xdr:rowOff>
    </xdr:to>
    <xdr:grpSp>
      <xdr:nvGrpSpPr>
        <xdr:cNvPr id="12" name="Group 11">
          <a:extLst>
            <a:ext uri="{FF2B5EF4-FFF2-40B4-BE49-F238E27FC236}">
              <a16:creationId xmlns:a16="http://schemas.microsoft.com/office/drawing/2014/main" id="{360A9106-E6B3-5E92-84AC-A64C7DE13E21}"/>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2DFBBB85-A49D-BBF2-8BA9-87CF3DE34A85}"/>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6C5D74C9-3663-DC99-CFE9-03D697905660}"/>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0B2DFF9B-CD05-D289-9812-DF14CA316679}"/>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94A35511-5C04-D38B-E2C8-2319554150AF}"/>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9</xdr:row>
      <xdr:rowOff>287253</xdr:rowOff>
    </xdr:from>
    <xdr:to>
      <xdr:col>0</xdr:col>
      <xdr:colOff>1713246</xdr:colOff>
      <xdr:row>11</xdr:row>
      <xdr:rowOff>12460</xdr:rowOff>
    </xdr:to>
    <xdr:grpSp>
      <xdr:nvGrpSpPr>
        <xdr:cNvPr id="13" name="Group 12">
          <a:extLst>
            <a:ext uri="{FF2B5EF4-FFF2-40B4-BE49-F238E27FC236}">
              <a16:creationId xmlns:a16="http://schemas.microsoft.com/office/drawing/2014/main" id="{4EB18D96-C68A-348E-F4D7-7FBA46056D34}"/>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0BBFD94E-7E42-9055-A9FC-E06F440B3B9C}"/>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03604401-E367-62FD-838F-5923C7F2AFF6}"/>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56D7F7B6-560E-47B1-4F22-B12776872EBD}"/>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72010F45-43BD-1640-A4F6-9A36A4C10565}"/>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11</xdr:row>
      <xdr:rowOff>29690</xdr:rowOff>
    </xdr:from>
    <xdr:to>
      <xdr:col>0</xdr:col>
      <xdr:colOff>1709917</xdr:colOff>
      <xdr:row>12</xdr:row>
      <xdr:rowOff>156008</xdr:rowOff>
    </xdr:to>
    <xdr:grpSp>
      <xdr:nvGrpSpPr>
        <xdr:cNvPr id="14" name="Group 13">
          <a:extLst>
            <a:ext uri="{FF2B5EF4-FFF2-40B4-BE49-F238E27FC236}">
              <a16:creationId xmlns:a16="http://schemas.microsoft.com/office/drawing/2014/main" id="{2D30AF38-62C6-1E66-D4F0-C3ABFEA43926}"/>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8C91A20F-FA5C-75EA-8B36-0784C5723B56}"/>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57DFACA0-93C0-42AA-3614-B14CB23EE382}"/>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820D5355-E865-C2FC-5C25-E417A7BE5609}"/>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3A5E7A75-636A-E0C2-8FF7-51A9D24DC82E}"/>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12</xdr:row>
      <xdr:rowOff>178347</xdr:rowOff>
    </xdr:from>
    <xdr:to>
      <xdr:col>0</xdr:col>
      <xdr:colOff>1709302</xdr:colOff>
      <xdr:row>13</xdr:row>
      <xdr:rowOff>82231</xdr:rowOff>
    </xdr:to>
    <xdr:grpSp>
      <xdr:nvGrpSpPr>
        <xdr:cNvPr id="15" name="Group 14">
          <a:extLst>
            <a:ext uri="{FF2B5EF4-FFF2-40B4-BE49-F238E27FC236}">
              <a16:creationId xmlns:a16="http://schemas.microsoft.com/office/drawing/2014/main" id="{8C5E7C01-EFE1-28C0-B18B-C5212C5927CA}"/>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C4DAF1B1-0A43-3419-12E6-EBD936572BDB}"/>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BC3F59B3-1151-88DB-6B02-E4F6392E5A14}"/>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2FCA04F6-59D4-737A-3485-E95559D58674}"/>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230D3562-BBFD-684A-6996-62AC25A5650A}"/>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13</xdr:row>
      <xdr:rowOff>101148</xdr:rowOff>
    </xdr:from>
    <xdr:to>
      <xdr:col>0</xdr:col>
      <xdr:colOff>1709298</xdr:colOff>
      <xdr:row>14</xdr:row>
      <xdr:rowOff>222194</xdr:rowOff>
    </xdr:to>
    <xdr:grpSp>
      <xdr:nvGrpSpPr>
        <xdr:cNvPr id="16" name="Group 15">
          <a:extLst>
            <a:ext uri="{FF2B5EF4-FFF2-40B4-BE49-F238E27FC236}">
              <a16:creationId xmlns:a16="http://schemas.microsoft.com/office/drawing/2014/main" id="{60EE0450-5664-9212-BDB2-AE722B7B50AA}"/>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53D9B80C-4A71-5090-2C7D-02ABE761C7CA}"/>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B256CDFE-94B6-FA1A-9A29-F4721B0798A6}"/>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2316D365-06B8-11E9-5B1C-9DBFEB8F4A9B}"/>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2A7213E8-9537-9AE1-045F-2C7385411C38}"/>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14</xdr:row>
      <xdr:rowOff>240049</xdr:rowOff>
    </xdr:from>
    <xdr:to>
      <xdr:col>0</xdr:col>
      <xdr:colOff>1709296</xdr:colOff>
      <xdr:row>15</xdr:row>
      <xdr:rowOff>366367</xdr:rowOff>
    </xdr:to>
    <xdr:grpSp>
      <xdr:nvGrpSpPr>
        <xdr:cNvPr id="17" name="Group 16">
          <a:extLst>
            <a:ext uri="{FF2B5EF4-FFF2-40B4-BE49-F238E27FC236}">
              <a16:creationId xmlns:a16="http://schemas.microsoft.com/office/drawing/2014/main" id="{135CCAE3-784E-3D10-8A66-1502BDD69CC4}"/>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9406795F-0AB4-5542-F5A6-731E1D8EC0F4}"/>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DF25AD73-A404-6E3D-3EF3-8F73E0F891EA}"/>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22D81A6E-3123-2AE6-E415-E9F380DD92FA}"/>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1936E094-529A-31C3-17B0-DA4734DC502E}"/>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16</xdr:row>
      <xdr:rowOff>17857</xdr:rowOff>
    </xdr:from>
    <xdr:to>
      <xdr:col>0</xdr:col>
      <xdr:colOff>1708011</xdr:colOff>
      <xdr:row>17</xdr:row>
      <xdr:rowOff>106681</xdr:rowOff>
    </xdr:to>
    <xdr:grpSp>
      <xdr:nvGrpSpPr>
        <xdr:cNvPr id="18" name="Group 17">
          <a:extLst>
            <a:ext uri="{FF2B5EF4-FFF2-40B4-BE49-F238E27FC236}">
              <a16:creationId xmlns:a16="http://schemas.microsoft.com/office/drawing/2014/main" id="{25FEF85F-A460-7151-4045-53B9F46ABCA3}"/>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A9E9CB61-8F5F-6158-405B-543F369B8E98}"/>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CE77DFB9-D485-6E3E-6976-CDB73AD7579C}"/>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DC85AE12-2130-B7AA-9D1A-03A3031C13CB}"/>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ED537B89-7891-7B59-35EC-824D3157A048}"/>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18</xdr:row>
      <xdr:rowOff>266343</xdr:rowOff>
    </xdr:from>
    <xdr:to>
      <xdr:col>0</xdr:col>
      <xdr:colOff>1708946</xdr:colOff>
      <xdr:row>19</xdr:row>
      <xdr:rowOff>363286</xdr:rowOff>
    </xdr:to>
    <xdr:grpSp>
      <xdr:nvGrpSpPr>
        <xdr:cNvPr id="19" name="Group 18">
          <a:extLst>
            <a:ext uri="{FF2B5EF4-FFF2-40B4-BE49-F238E27FC236}">
              <a16:creationId xmlns:a16="http://schemas.microsoft.com/office/drawing/2014/main" id="{69DE814A-90B7-9B7F-B928-6EEDE24D0D1D}"/>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0AB2B93C-953C-5EC1-64C3-1A7CBF3BD33F}"/>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3D8DF92E-2915-DBB5-3D49-E9C82010C39D}"/>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E2790309-3782-8C59-247F-C34AA9560AB7}"/>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0FB504BA-1DAC-7144-94D4-120607805F69}"/>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20</xdr:row>
      <xdr:rowOff>22534</xdr:rowOff>
    </xdr:from>
    <xdr:to>
      <xdr:col>0</xdr:col>
      <xdr:colOff>1710873</xdr:colOff>
      <xdr:row>20</xdr:row>
      <xdr:rowOff>510979</xdr:rowOff>
    </xdr:to>
    <xdr:grpSp>
      <xdr:nvGrpSpPr>
        <xdr:cNvPr id="20" name="Group 19">
          <a:extLst>
            <a:ext uri="{FF2B5EF4-FFF2-40B4-BE49-F238E27FC236}">
              <a16:creationId xmlns:a16="http://schemas.microsoft.com/office/drawing/2014/main" id="{B7D1D1EF-595A-A034-194F-AE7DA1B59589}"/>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196A06D5-14F6-F7D7-8E8C-D2D15AAECF09}"/>
              </a:ext>
            </a:extLst>
          </xdr:cNvPr>
          <xdr:cNvSpPr/>
        </xdr:nvSpPr>
        <xdr:spPr>
          <a:xfrm>
            <a:off x="3854" y="7905214"/>
            <a:ext cx="1709047" cy="480021"/>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6C13A63C-79BB-45FE-6463-BB9B7B61F555}"/>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84" name="Oval 83">
            <a:extLst>
              <a:ext uri="{FF2B5EF4-FFF2-40B4-BE49-F238E27FC236}">
                <a16:creationId xmlns:a16="http://schemas.microsoft.com/office/drawing/2014/main" id="{513F02AC-5757-9EA6-2FBE-2AC9A08CA405}"/>
              </a:ext>
            </a:extLst>
          </xdr:cNvPr>
          <xdr:cNvSpPr/>
        </xdr:nvSpPr>
        <xdr:spPr>
          <a:xfrm>
            <a:off x="98440" y="7988451"/>
            <a:ext cx="286142" cy="312695"/>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80A01804-C35A-F23C-0365-8DC706D089EF}"/>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Effluent</a:t>
            </a:r>
          </a:p>
        </xdr:txBody>
      </xdr:sp>
    </xdr:grpSp>
    <xdr:clientData/>
  </xdr:twoCellAnchor>
  <xdr:twoCellAnchor>
    <xdr:from>
      <xdr:col>0</xdr:col>
      <xdr:colOff>4988</xdr:colOff>
      <xdr:row>20</xdr:row>
      <xdr:rowOff>535085</xdr:rowOff>
    </xdr:from>
    <xdr:to>
      <xdr:col>0</xdr:col>
      <xdr:colOff>1712157</xdr:colOff>
      <xdr:row>22</xdr:row>
      <xdr:rowOff>77067</xdr:rowOff>
    </xdr:to>
    <xdr:grpSp>
      <xdr:nvGrpSpPr>
        <xdr:cNvPr id="21" name="Group 20">
          <a:extLst>
            <a:ext uri="{FF2B5EF4-FFF2-40B4-BE49-F238E27FC236}">
              <a16:creationId xmlns:a16="http://schemas.microsoft.com/office/drawing/2014/main" id="{323C1336-A0AB-EA8F-A9D2-19A3EA05A246}"/>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033382DC-72A2-CAC3-0905-F51F48CD32FD}"/>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557F74E7-5D8F-94A7-0183-1778991EAD35}"/>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7745BBAE-8E63-C9E9-05C3-9A50B35A48B1}"/>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3206E999-48E2-7851-6AED-1398005FC28C}"/>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22</xdr:row>
      <xdr:rowOff>89855</xdr:rowOff>
    </xdr:from>
    <xdr:to>
      <xdr:col>0</xdr:col>
      <xdr:colOff>1713207</xdr:colOff>
      <xdr:row>23</xdr:row>
      <xdr:rowOff>209432</xdr:rowOff>
    </xdr:to>
    <xdr:grpSp>
      <xdr:nvGrpSpPr>
        <xdr:cNvPr id="22" name="Group 21">
          <a:extLst>
            <a:ext uri="{FF2B5EF4-FFF2-40B4-BE49-F238E27FC236}">
              <a16:creationId xmlns:a16="http://schemas.microsoft.com/office/drawing/2014/main" id="{0B475575-7D5B-F245-559C-220C0880BC4B}"/>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EC07DCCE-A0FC-FE75-B9E8-6E28321216E8}"/>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3C267249-5354-E0A6-2B42-137EDAF521B5}"/>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CAFACF11-7F9F-DA38-8E9B-1E556E9F666D}"/>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62525319-6EA3-493F-ADA6-D6D33D33B179}"/>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25</xdr:row>
      <xdr:rowOff>182190</xdr:rowOff>
    </xdr:from>
    <xdr:to>
      <xdr:col>0</xdr:col>
      <xdr:colOff>1711774</xdr:colOff>
      <xdr:row>26</xdr:row>
      <xdr:rowOff>96253</xdr:rowOff>
    </xdr:to>
    <xdr:grpSp>
      <xdr:nvGrpSpPr>
        <xdr:cNvPr id="23" name="Group 22">
          <a:extLst>
            <a:ext uri="{FF2B5EF4-FFF2-40B4-BE49-F238E27FC236}">
              <a16:creationId xmlns:a16="http://schemas.microsoft.com/office/drawing/2014/main" id="{693587F3-92CE-CE2D-2FEC-6D16F5787DD1}"/>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C871DCB7-4533-B011-89A4-F75BBFFDB37D}"/>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21CB703B-BF3F-D6CE-819C-7FD9CA88392C}"/>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99DC2A3C-6FED-747A-E3A0-AC10FB7F6A72}"/>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21197067-3E74-7058-FF18-F8D0E981E766}"/>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23</xdr:row>
      <xdr:rowOff>227415</xdr:rowOff>
    </xdr:from>
    <xdr:to>
      <xdr:col>0</xdr:col>
      <xdr:colOff>1712537</xdr:colOff>
      <xdr:row>25</xdr:row>
      <xdr:rowOff>157911</xdr:rowOff>
    </xdr:to>
    <xdr:grpSp>
      <xdr:nvGrpSpPr>
        <xdr:cNvPr id="24" name="Group 23">
          <a:extLst>
            <a:ext uri="{FF2B5EF4-FFF2-40B4-BE49-F238E27FC236}">
              <a16:creationId xmlns:a16="http://schemas.microsoft.com/office/drawing/2014/main" id="{29653070-9190-41D9-71B4-7CDD8AD9BCD7}"/>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A84E9E24-623F-C63A-523E-CC06C36F9FA1}"/>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B4CC3C5A-08C1-79D6-B880-5A5A6443CB87}"/>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D3B21E27-4A0F-E33F-DCEF-6DA4BDD96F94}"/>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ECB0BB27-FA72-E7A9-8387-1D9741117BA8}"/>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26</xdr:row>
      <xdr:rowOff>104652</xdr:rowOff>
    </xdr:from>
    <xdr:to>
      <xdr:col>0</xdr:col>
      <xdr:colOff>1711005</xdr:colOff>
      <xdr:row>29</xdr:row>
      <xdr:rowOff>47449</xdr:rowOff>
    </xdr:to>
    <xdr:grpSp>
      <xdr:nvGrpSpPr>
        <xdr:cNvPr id="25" name="Group 24">
          <a:extLst>
            <a:ext uri="{FF2B5EF4-FFF2-40B4-BE49-F238E27FC236}">
              <a16:creationId xmlns:a16="http://schemas.microsoft.com/office/drawing/2014/main" id="{F46867E6-742F-68D2-8D2E-0833AEE18E87}"/>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7001F9DA-0FC1-C889-7DBB-5676C8DBF522}"/>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E6C0DAA9-68A6-22E5-EDE3-499E42A43DE7}"/>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9219D7C0-F8E0-36FA-11BD-AF87BBB7E7A6}"/>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9630A6E4-E4EC-93DD-467E-065172D66874}"/>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29</xdr:row>
      <xdr:rowOff>64766</xdr:rowOff>
    </xdr:from>
    <xdr:to>
      <xdr:col>0</xdr:col>
      <xdr:colOff>1712668</xdr:colOff>
      <xdr:row>31</xdr:row>
      <xdr:rowOff>152044</xdr:rowOff>
    </xdr:to>
    <xdr:grpSp>
      <xdr:nvGrpSpPr>
        <xdr:cNvPr id="27" name="Group 26">
          <a:extLst>
            <a:ext uri="{FF2B5EF4-FFF2-40B4-BE49-F238E27FC236}">
              <a16:creationId xmlns:a16="http://schemas.microsoft.com/office/drawing/2014/main" id="{823283D9-49A2-9867-D3D0-48920E98617B}"/>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9D2F49CD-48CD-60E9-B60B-A9A27C97F877}"/>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74768431-2627-3034-334A-8E11979B2AC5}"/>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FA4324A6-59B6-4736-93C4-3E53BC3FAC3C}"/>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97D622AB-B7CC-0372-1B5B-9A7DDBB2396A}"/>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31</xdr:row>
      <xdr:rowOff>170882</xdr:rowOff>
    </xdr:from>
    <xdr:to>
      <xdr:col>0</xdr:col>
      <xdr:colOff>1711471</xdr:colOff>
      <xdr:row>34</xdr:row>
      <xdr:rowOff>106909</xdr:rowOff>
    </xdr:to>
    <xdr:grpSp>
      <xdr:nvGrpSpPr>
        <xdr:cNvPr id="28" name="Group 27">
          <a:extLst>
            <a:ext uri="{FF2B5EF4-FFF2-40B4-BE49-F238E27FC236}">
              <a16:creationId xmlns:a16="http://schemas.microsoft.com/office/drawing/2014/main" id="{E406B1E1-7E02-208E-B950-9792F9D61A13}"/>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15E03060-02A8-9E3B-39ED-F8B9B142F94E}"/>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577ABAB8-FBE7-5087-9D9C-4B7F2A5E90CE}"/>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47958532-B304-3EEB-74AD-21F438073F81}"/>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45A202C3-9B85-9605-CF7C-26F9E5B93D16}"/>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17</xdr:row>
      <xdr:rowOff>125747</xdr:rowOff>
    </xdr:from>
    <xdr:to>
      <xdr:col>0</xdr:col>
      <xdr:colOff>1707169</xdr:colOff>
      <xdr:row>18</xdr:row>
      <xdr:rowOff>242866</xdr:rowOff>
    </xdr:to>
    <xdr:grpSp>
      <xdr:nvGrpSpPr>
        <xdr:cNvPr id="29" name="Group 28">
          <a:extLst>
            <a:ext uri="{FF2B5EF4-FFF2-40B4-BE49-F238E27FC236}">
              <a16:creationId xmlns:a16="http://schemas.microsoft.com/office/drawing/2014/main" id="{E76A4A05-6798-6A82-35B3-6C30D40335ED}"/>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1A3AF8F5-8F90-B332-8179-997BD0BD36DA}"/>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42C785AB-030D-9466-B279-A86229A12773}"/>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B8E2B265-7957-AF76-78B0-E0FBA8487456}"/>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13A795C4-876E-0E59-F3E2-5F6AA2487BFF}"/>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34</xdr:row>
      <xdr:rowOff>119454</xdr:rowOff>
    </xdr:from>
    <xdr:to>
      <xdr:col>0</xdr:col>
      <xdr:colOff>1711953</xdr:colOff>
      <xdr:row>37</xdr:row>
      <xdr:rowOff>55481</xdr:rowOff>
    </xdr:to>
    <xdr:grpSp>
      <xdr:nvGrpSpPr>
        <xdr:cNvPr id="32" name="Group 31">
          <a:extLst>
            <a:ext uri="{FF2B5EF4-FFF2-40B4-BE49-F238E27FC236}">
              <a16:creationId xmlns:a16="http://schemas.microsoft.com/office/drawing/2014/main" id="{5006BA1A-8466-E911-B94B-BD1162DA395D}"/>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1EC7D67E-4990-ED05-C0D6-1825B7417710}"/>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48C241C4-221D-89EB-9229-D310D319184F}"/>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CE5F0C32-BF61-A29F-2423-D6B399D94BC1}"/>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81D0A30B-5060-01EC-C545-73D912F20BD4}"/>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A377E687-1F43-453D-979E-111525FCB796}"/>
            </a:ext>
          </a:extLst>
        </xdr:cNvPr>
        <xdr:cNvGrpSpPr/>
      </xdr:nvGrpSpPr>
      <xdr:grpSpPr>
        <a:xfrm>
          <a:off x="108458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51180AAE-9A84-613E-7CE8-5B1EB0A6DFB7}"/>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08253DE0-97CC-06FE-C6D8-8F83A40273F4}"/>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37</xdr:row>
      <xdr:rowOff>76200</xdr:rowOff>
    </xdr:from>
    <xdr:to>
      <xdr:col>0</xdr:col>
      <xdr:colOff>1713549</xdr:colOff>
      <xdr:row>49</xdr:row>
      <xdr:rowOff>99434</xdr:rowOff>
    </xdr:to>
    <xdr:grpSp>
      <xdr:nvGrpSpPr>
        <xdr:cNvPr id="163" name="Group 162">
          <a:extLst>
            <a:ext uri="{FF2B5EF4-FFF2-40B4-BE49-F238E27FC236}">
              <a16:creationId xmlns:a16="http://schemas.microsoft.com/office/drawing/2014/main" id="{0CCE1479-0ADE-4674-BE8F-6F7F3A7885AC}"/>
            </a:ext>
          </a:extLst>
        </xdr:cNvPr>
        <xdr:cNvGrpSpPr/>
      </xdr:nvGrpSpPr>
      <xdr:grpSpPr>
        <a:xfrm>
          <a:off x="0" y="12446000"/>
          <a:ext cx="1713549" cy="2233034"/>
          <a:chOff x="5137727" y="13144500"/>
          <a:chExt cx="1713549" cy="2252946"/>
        </a:xfrm>
      </xdr:grpSpPr>
      <xdr:grpSp>
        <xdr:nvGrpSpPr>
          <xdr:cNvPr id="164" name="Group 163">
            <a:extLst>
              <a:ext uri="{FF2B5EF4-FFF2-40B4-BE49-F238E27FC236}">
                <a16:creationId xmlns:a16="http://schemas.microsoft.com/office/drawing/2014/main" id="{E75E81A0-2B0E-6CED-B689-51F9226EE711}"/>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A0D202C8-8313-EF3D-92B8-D644FAF252DD}"/>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E2A30D21-A367-0C25-669D-31832C1545EB}"/>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3A24E85D-CFFB-943D-853B-4DC1086EEAED}"/>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F8AA5879-F812-6204-4A8F-824F26A5CAD6}"/>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FF12F839-F995-5BA7-D4AD-52A19B8D9FE8}"/>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AB2E3592-F39D-FCFE-D8AC-9EB4EB08F6EE}"/>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41972D80-740B-2353-70A3-977E756682B8}"/>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8FCE1318-8DC6-8BEB-19D5-E3FD47C9AA44}"/>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4983C616-5187-CAA2-63AC-307779B88CB2}"/>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900B34A7-8819-9944-6675-BC9C03D5FB55}"/>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8327071E-A11E-3CDD-AF57-14203E606726}"/>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060F4AC8-C056-C8CD-F023-2EFDF9D1E471}"/>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1047D2F7-D7D5-7C2F-CF01-7EFE8B72366C}"/>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A7859C7B-7CE4-8B33-51FE-A63EB2F6A3D6}"/>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DB0BADCC-A299-0B20-004D-DAD2873B1D96}"/>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0D1B6676-6898-6E4A-1184-BBE9FE3D658F}"/>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7EE5F968-A1F9-49B6-8EEE-418AA371FE36}"/>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1616D5D0-52DE-82A2-FD19-534534C037AC}"/>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C83E8033-8CDF-8C10-ED80-9FDA83C032E9}"/>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FB83A0C9-6FEA-C7D2-CE54-264EF967F1B5}"/>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16</xdr:row>
      <xdr:rowOff>495300</xdr:rowOff>
    </xdr:to>
    <xdr:sp macro="" textlink="">
      <xdr:nvSpPr>
        <xdr:cNvPr id="4" name="Rectangle: Rounded Corners 3">
          <a:extLst>
            <a:ext uri="{FF2B5EF4-FFF2-40B4-BE49-F238E27FC236}">
              <a16:creationId xmlns:a16="http://schemas.microsoft.com/office/drawing/2014/main" id="{8D942941-980B-FDA0-2D69-7A63E8709BB8}"/>
            </a:ext>
          </a:extLst>
        </xdr:cNvPr>
        <xdr:cNvSpPr/>
      </xdr:nvSpPr>
      <xdr:spPr>
        <a:xfrm>
          <a:off x="0" y="0"/>
          <a:ext cx="1841776" cy="148907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C934120A-8ADE-7F7C-F22D-5E3BCCE28B16}"/>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4F294458-C944-6BB7-5599-A51D5BC1D68E}"/>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5755BCB5-45F2-40BD-07DB-7E258C0B099F}"/>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06764975-8770-D127-07BC-8723D144DA3B}"/>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6B01BAB6-B2A9-8B9A-C5BA-E7F6778F0AB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3</xdr:row>
      <xdr:rowOff>812074</xdr:rowOff>
    </xdr:to>
    <xdr:grpSp>
      <xdr:nvGrpSpPr>
        <xdr:cNvPr id="7" name="Group 6">
          <a:extLst>
            <a:ext uri="{FF2B5EF4-FFF2-40B4-BE49-F238E27FC236}">
              <a16:creationId xmlns:a16="http://schemas.microsoft.com/office/drawing/2014/main" id="{D7DB2294-F48F-3763-F27E-1668A6FB3A4D}"/>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C554440C-5615-A3FB-F484-8A49DB470FDA}"/>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3BB78AED-ADE4-1BF0-6F45-4E6FFC9B1F7E}"/>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40F06FCA-A43E-D15C-CD1F-1BC4EB139D8E}"/>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230689</xdr:rowOff>
    </xdr:from>
    <xdr:to>
      <xdr:col>0</xdr:col>
      <xdr:colOff>1717958</xdr:colOff>
      <xdr:row>4</xdr:row>
      <xdr:rowOff>678501</xdr:rowOff>
    </xdr:to>
    <xdr:grpSp>
      <xdr:nvGrpSpPr>
        <xdr:cNvPr id="8" name="Group 7">
          <a:extLst>
            <a:ext uri="{FF2B5EF4-FFF2-40B4-BE49-F238E27FC236}">
              <a16:creationId xmlns:a16="http://schemas.microsoft.com/office/drawing/2014/main" id="{4A8E6051-081C-8FC5-7EEC-FD16025D05F9}"/>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69A1DC7F-68B7-C98B-1D28-2B9E5B4D9B1E}"/>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452C5E06-3C65-BE4A-3E72-6C23EBD1C752}"/>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80C2CD38-EE2F-30EF-687D-38E7C40D7EA6}"/>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4</xdr:row>
      <xdr:rowOff>700152</xdr:rowOff>
    </xdr:from>
    <xdr:to>
      <xdr:col>0</xdr:col>
      <xdr:colOff>1715516</xdr:colOff>
      <xdr:row>5</xdr:row>
      <xdr:rowOff>41227</xdr:rowOff>
    </xdr:to>
    <xdr:grpSp>
      <xdr:nvGrpSpPr>
        <xdr:cNvPr id="9" name="Group 8">
          <a:extLst>
            <a:ext uri="{FF2B5EF4-FFF2-40B4-BE49-F238E27FC236}">
              <a16:creationId xmlns:a16="http://schemas.microsoft.com/office/drawing/2014/main" id="{AF75A2E6-E1D9-CB6C-541A-9A5C564FD021}"/>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1CDAEC15-F4D4-4639-B537-938E3BF692EC}"/>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A12F9C97-747D-A951-E708-DDD35EE4CB02}"/>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F6609812-B41A-C4BD-1157-7B038FBE4CEB}"/>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5</xdr:row>
      <xdr:rowOff>55506</xdr:rowOff>
    </xdr:from>
    <xdr:to>
      <xdr:col>0</xdr:col>
      <xdr:colOff>1713076</xdr:colOff>
      <xdr:row>5</xdr:row>
      <xdr:rowOff>514352</xdr:rowOff>
    </xdr:to>
    <xdr:grpSp>
      <xdr:nvGrpSpPr>
        <xdr:cNvPr id="10" name="Group 9">
          <a:extLst>
            <a:ext uri="{FF2B5EF4-FFF2-40B4-BE49-F238E27FC236}">
              <a16:creationId xmlns:a16="http://schemas.microsoft.com/office/drawing/2014/main" id="{3B92EDB5-7A39-F4A0-FF89-C51B3A735724}"/>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3352503F-C0F3-6999-2FA6-120E9198C2B8}"/>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F1CCE238-9F99-B630-D76E-37D0B482DEFE}"/>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2AA30FAC-C372-8FF9-0F8B-33B9360F55FA}"/>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9A56FA7D-7B4E-1114-15BF-96E289FAF08B}"/>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3</xdr:row>
      <xdr:rowOff>834375</xdr:rowOff>
    </xdr:from>
    <xdr:to>
      <xdr:col>0</xdr:col>
      <xdr:colOff>1716667</xdr:colOff>
      <xdr:row>4</xdr:row>
      <xdr:rowOff>210064</xdr:rowOff>
    </xdr:to>
    <xdr:grpSp>
      <xdr:nvGrpSpPr>
        <xdr:cNvPr id="11" name="Group 10">
          <a:extLst>
            <a:ext uri="{FF2B5EF4-FFF2-40B4-BE49-F238E27FC236}">
              <a16:creationId xmlns:a16="http://schemas.microsoft.com/office/drawing/2014/main" id="{63E27DD2-08AE-9D79-E94F-F4126F76F5CF}"/>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4818B40F-6FA2-863B-20AE-A121E88852D8}"/>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9749D629-27B7-B7FA-A493-AA758535F3B3}"/>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E4CE6B06-3091-D363-764D-CA66BEC2274E}"/>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5</xdr:row>
      <xdr:rowOff>527536</xdr:rowOff>
    </xdr:from>
    <xdr:to>
      <xdr:col>0</xdr:col>
      <xdr:colOff>1713094</xdr:colOff>
      <xdr:row>6</xdr:row>
      <xdr:rowOff>90305</xdr:rowOff>
    </xdr:to>
    <xdr:grpSp>
      <xdr:nvGrpSpPr>
        <xdr:cNvPr id="12" name="Group 11">
          <a:extLst>
            <a:ext uri="{FF2B5EF4-FFF2-40B4-BE49-F238E27FC236}">
              <a16:creationId xmlns:a16="http://schemas.microsoft.com/office/drawing/2014/main" id="{397A9982-0A03-7911-FA69-B7B9640BD155}"/>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23DC2F2F-C29E-2C1F-89B7-5843E6A87389}"/>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27D1C773-92A5-C8C3-E0DC-2600F156F053}"/>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9AEFFE21-A131-9ECD-5334-2449AFF4D480}"/>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778C1269-1892-7909-A700-7D814C867DA7}"/>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6</xdr:row>
      <xdr:rowOff>103103</xdr:rowOff>
    </xdr:from>
    <xdr:to>
      <xdr:col>0</xdr:col>
      <xdr:colOff>1713246</xdr:colOff>
      <xdr:row>6</xdr:row>
      <xdr:rowOff>564910</xdr:rowOff>
    </xdr:to>
    <xdr:grpSp>
      <xdr:nvGrpSpPr>
        <xdr:cNvPr id="13" name="Group 12">
          <a:extLst>
            <a:ext uri="{FF2B5EF4-FFF2-40B4-BE49-F238E27FC236}">
              <a16:creationId xmlns:a16="http://schemas.microsoft.com/office/drawing/2014/main" id="{AFC8882D-4467-685E-BAE0-E17DF243BB5F}"/>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E42AE7A5-ED7E-BE61-B869-0285C27E6989}"/>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45DDF257-D9B7-9E89-FDE0-4A973E2B2AA4}"/>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01FBEBE3-16E2-551D-B8A6-BF8E368492F9}"/>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10964340-18B9-2AD8-2C1A-65D3F1490A17}"/>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6</xdr:row>
      <xdr:rowOff>582140</xdr:rowOff>
    </xdr:from>
    <xdr:to>
      <xdr:col>0</xdr:col>
      <xdr:colOff>1709917</xdr:colOff>
      <xdr:row>7</xdr:row>
      <xdr:rowOff>156008</xdr:rowOff>
    </xdr:to>
    <xdr:grpSp>
      <xdr:nvGrpSpPr>
        <xdr:cNvPr id="14" name="Group 13">
          <a:extLst>
            <a:ext uri="{FF2B5EF4-FFF2-40B4-BE49-F238E27FC236}">
              <a16:creationId xmlns:a16="http://schemas.microsoft.com/office/drawing/2014/main" id="{C285A4DC-11AE-D2A8-9C02-791334E09F48}"/>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4689E93B-B441-703B-05F7-9CA9CA2E0016}"/>
              </a:ext>
            </a:extLst>
          </xdr:cNvPr>
          <xdr:cNvSpPr/>
        </xdr:nvSpPr>
        <xdr:spPr>
          <a:xfrm>
            <a:off x="2860" y="4448680"/>
            <a:ext cx="1709047" cy="479073"/>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D2A7A85C-8254-5F1B-D081-11B57B6BEA6A}"/>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108" name="Oval 107">
            <a:extLst>
              <a:ext uri="{FF2B5EF4-FFF2-40B4-BE49-F238E27FC236}">
                <a16:creationId xmlns:a16="http://schemas.microsoft.com/office/drawing/2014/main" id="{2A2E0C42-95B9-5A73-E1EC-4AA40DB663C5}"/>
              </a:ext>
            </a:extLst>
          </xdr:cNvPr>
          <xdr:cNvSpPr/>
        </xdr:nvSpPr>
        <xdr:spPr>
          <a:xfrm>
            <a:off x="97446" y="4531155"/>
            <a:ext cx="286142" cy="313271"/>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31173D1C-447E-011C-1BE0-C6F8F11BC493}"/>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USECHH</a:t>
            </a:r>
          </a:p>
        </xdr:txBody>
      </xdr:sp>
    </xdr:grpSp>
    <xdr:clientData/>
  </xdr:twoCellAnchor>
  <xdr:twoCellAnchor>
    <xdr:from>
      <xdr:col>0</xdr:col>
      <xdr:colOff>2133</xdr:colOff>
      <xdr:row>7</xdr:row>
      <xdr:rowOff>178347</xdr:rowOff>
    </xdr:from>
    <xdr:to>
      <xdr:col>0</xdr:col>
      <xdr:colOff>1709302</xdr:colOff>
      <xdr:row>7</xdr:row>
      <xdr:rowOff>634681</xdr:rowOff>
    </xdr:to>
    <xdr:grpSp>
      <xdr:nvGrpSpPr>
        <xdr:cNvPr id="15" name="Group 14">
          <a:extLst>
            <a:ext uri="{FF2B5EF4-FFF2-40B4-BE49-F238E27FC236}">
              <a16:creationId xmlns:a16="http://schemas.microsoft.com/office/drawing/2014/main" id="{FBDED509-32BC-019F-84DA-448BFE2CB472}"/>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C84A7CD9-108A-41A2-6960-D86F46A06BCA}"/>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0C545BB6-0978-21DE-83D9-3BCEC2250762}"/>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DBB10A2D-87E5-7D59-90B2-D7EA3176454C}"/>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FEC38B42-4A45-45BF-88E4-2E56A8505C95}"/>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7</xdr:row>
      <xdr:rowOff>653598</xdr:rowOff>
    </xdr:from>
    <xdr:to>
      <xdr:col>0</xdr:col>
      <xdr:colOff>1709298</xdr:colOff>
      <xdr:row>8</xdr:row>
      <xdr:rowOff>222194</xdr:rowOff>
    </xdr:to>
    <xdr:grpSp>
      <xdr:nvGrpSpPr>
        <xdr:cNvPr id="16" name="Group 15">
          <a:extLst>
            <a:ext uri="{FF2B5EF4-FFF2-40B4-BE49-F238E27FC236}">
              <a16:creationId xmlns:a16="http://schemas.microsoft.com/office/drawing/2014/main" id="{6D70235B-ADCF-FD54-4514-DE04A86579A4}"/>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4180A105-8326-A9FE-3590-90E034A1C92A}"/>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B31DCCEB-1221-97EC-B4F5-56CB609227A4}"/>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F5D67661-CC7A-415B-7F88-8E493A0CE45C}"/>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6ACCFDB1-F3EC-0F4C-D2AF-C5D966ADD45D}"/>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8</xdr:row>
      <xdr:rowOff>240049</xdr:rowOff>
    </xdr:from>
    <xdr:to>
      <xdr:col>0</xdr:col>
      <xdr:colOff>1709296</xdr:colOff>
      <xdr:row>8</xdr:row>
      <xdr:rowOff>734667</xdr:rowOff>
    </xdr:to>
    <xdr:grpSp>
      <xdr:nvGrpSpPr>
        <xdr:cNvPr id="17" name="Group 16">
          <a:extLst>
            <a:ext uri="{FF2B5EF4-FFF2-40B4-BE49-F238E27FC236}">
              <a16:creationId xmlns:a16="http://schemas.microsoft.com/office/drawing/2014/main" id="{C3B57DB2-3A06-B103-48D2-ECF81699ED07}"/>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7BE403B1-1850-11AB-B565-FDD42A85AB7C}"/>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995D6D66-5937-7991-7DAF-35553E88B388}"/>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8EC3F220-DD83-A4F1-5471-21EFCFADB243}"/>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6C6CA5C4-AEB0-2CDD-5214-12E9B3645B6F}"/>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8</xdr:row>
      <xdr:rowOff>754457</xdr:rowOff>
    </xdr:from>
    <xdr:to>
      <xdr:col>0</xdr:col>
      <xdr:colOff>1708011</xdr:colOff>
      <xdr:row>9</xdr:row>
      <xdr:rowOff>290831</xdr:rowOff>
    </xdr:to>
    <xdr:grpSp>
      <xdr:nvGrpSpPr>
        <xdr:cNvPr id="18" name="Group 17">
          <a:extLst>
            <a:ext uri="{FF2B5EF4-FFF2-40B4-BE49-F238E27FC236}">
              <a16:creationId xmlns:a16="http://schemas.microsoft.com/office/drawing/2014/main" id="{3B57CD43-8833-64DC-6BFA-7722BA70B791}"/>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DD6D2990-1070-5BB3-E478-8BED9394EF6F}"/>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C19CA823-B069-87E2-F367-FCB7545B77F2}"/>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68E558EF-2664-44C4-3065-7C468ACA88AF}"/>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E9700BF2-555C-AD86-B7BC-6A3F19C19BA9}"/>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9</xdr:row>
      <xdr:rowOff>818793</xdr:rowOff>
    </xdr:from>
    <xdr:to>
      <xdr:col>0</xdr:col>
      <xdr:colOff>1708946</xdr:colOff>
      <xdr:row>10</xdr:row>
      <xdr:rowOff>179136</xdr:rowOff>
    </xdr:to>
    <xdr:grpSp>
      <xdr:nvGrpSpPr>
        <xdr:cNvPr id="19" name="Group 18">
          <a:extLst>
            <a:ext uri="{FF2B5EF4-FFF2-40B4-BE49-F238E27FC236}">
              <a16:creationId xmlns:a16="http://schemas.microsoft.com/office/drawing/2014/main" id="{E7AFCA5B-B5E4-821C-096B-2F7B9B04005B}"/>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68DAD8A9-B16E-0D1A-3A96-90958B798104}"/>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A9749143-68C2-F628-E651-B69F1FE84638}"/>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6A27144E-BE13-3F14-E92E-79788D13333B}"/>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70F6E92C-DCA3-88CA-1C16-5FAF7EDFEC9B}"/>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10</xdr:row>
      <xdr:rowOff>206684</xdr:rowOff>
    </xdr:from>
    <xdr:to>
      <xdr:col>0</xdr:col>
      <xdr:colOff>1710873</xdr:colOff>
      <xdr:row>10</xdr:row>
      <xdr:rowOff>695129</xdr:rowOff>
    </xdr:to>
    <xdr:grpSp>
      <xdr:nvGrpSpPr>
        <xdr:cNvPr id="20" name="Group 19">
          <a:extLst>
            <a:ext uri="{FF2B5EF4-FFF2-40B4-BE49-F238E27FC236}">
              <a16:creationId xmlns:a16="http://schemas.microsoft.com/office/drawing/2014/main" id="{D45EEE27-C162-40F7-CFED-8A7FCF91885C}"/>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4C22A859-AA86-5567-5D9C-943AD623EF22}"/>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6BF366F0-7B09-B38C-AD51-43F54B3D83F1}"/>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5CAE8891-F510-AF27-5A99-853EDBCD5F95}"/>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5BD8AD5E-42D0-CFED-D1CA-2582D52FFAF9}"/>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10</xdr:row>
      <xdr:rowOff>719235</xdr:rowOff>
    </xdr:from>
    <xdr:to>
      <xdr:col>0</xdr:col>
      <xdr:colOff>1712157</xdr:colOff>
      <xdr:row>10</xdr:row>
      <xdr:rowOff>1181967</xdr:rowOff>
    </xdr:to>
    <xdr:grpSp>
      <xdr:nvGrpSpPr>
        <xdr:cNvPr id="21" name="Group 20">
          <a:extLst>
            <a:ext uri="{FF2B5EF4-FFF2-40B4-BE49-F238E27FC236}">
              <a16:creationId xmlns:a16="http://schemas.microsoft.com/office/drawing/2014/main" id="{ADFAF445-B01E-CFFA-6CA9-F694F1E0744E}"/>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DBB4F799-0E3E-79FB-DA9E-40DC22A2FB62}"/>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DFECEDA2-E082-6A5B-E8D0-D9B0CE9DCBB3}"/>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217F37AA-BCEF-B4FC-CA7F-C792885C2828}"/>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F4E1DB13-5794-A1C1-B61B-22D91EDA9F65}"/>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10</xdr:row>
      <xdr:rowOff>1194755</xdr:rowOff>
    </xdr:from>
    <xdr:to>
      <xdr:col>0</xdr:col>
      <xdr:colOff>1713207</xdr:colOff>
      <xdr:row>11</xdr:row>
      <xdr:rowOff>393582</xdr:rowOff>
    </xdr:to>
    <xdr:grpSp>
      <xdr:nvGrpSpPr>
        <xdr:cNvPr id="22" name="Group 21">
          <a:extLst>
            <a:ext uri="{FF2B5EF4-FFF2-40B4-BE49-F238E27FC236}">
              <a16:creationId xmlns:a16="http://schemas.microsoft.com/office/drawing/2014/main" id="{9C4306E8-1899-2AAD-58C6-E8D57BA90210}"/>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2D90BDE4-CCA5-A0FB-8730-118A405E751E}"/>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E8E0311B-B51C-9B20-5D2E-1CADA86707BB}"/>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6F8E887C-56DA-79A7-798F-F07C4F9B30E5}"/>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9A2B09D8-542C-5D44-194F-C53FF208C59E}"/>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11</xdr:row>
      <xdr:rowOff>918790</xdr:rowOff>
    </xdr:from>
    <xdr:to>
      <xdr:col>0</xdr:col>
      <xdr:colOff>1711774</xdr:colOff>
      <xdr:row>12</xdr:row>
      <xdr:rowOff>464553</xdr:rowOff>
    </xdr:to>
    <xdr:grpSp>
      <xdr:nvGrpSpPr>
        <xdr:cNvPr id="23" name="Group 22">
          <a:extLst>
            <a:ext uri="{FF2B5EF4-FFF2-40B4-BE49-F238E27FC236}">
              <a16:creationId xmlns:a16="http://schemas.microsoft.com/office/drawing/2014/main" id="{0A0437FC-25EA-DCA1-D0C9-546B486DCA18}"/>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06271D69-16F3-7539-CA58-2E0101380F1A}"/>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8548BD36-21D8-D774-A213-50EB99422A13}"/>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0AD2DD5F-ED18-3EB9-71C6-697911FACADE}"/>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805ECB5F-C889-E79A-5189-DEEED80374A5}"/>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11</xdr:row>
      <xdr:rowOff>411565</xdr:rowOff>
    </xdr:from>
    <xdr:to>
      <xdr:col>0</xdr:col>
      <xdr:colOff>1712537</xdr:colOff>
      <xdr:row>11</xdr:row>
      <xdr:rowOff>894511</xdr:rowOff>
    </xdr:to>
    <xdr:grpSp>
      <xdr:nvGrpSpPr>
        <xdr:cNvPr id="24" name="Group 23">
          <a:extLst>
            <a:ext uri="{FF2B5EF4-FFF2-40B4-BE49-F238E27FC236}">
              <a16:creationId xmlns:a16="http://schemas.microsoft.com/office/drawing/2014/main" id="{3657EEEE-716C-475F-8342-4BCC86D8F24E}"/>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29A20714-9FD3-4B4D-9242-B1FDAB250CF8}"/>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AB69A1D9-5CC8-A8AE-0224-D5E636CA3E03}"/>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EDB0F369-E818-8F4D-8E4B-C230EC7D70E9}"/>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EEF52F19-38B8-8D30-8E6C-96B0A15DB159}"/>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12</xdr:row>
      <xdr:rowOff>472952</xdr:rowOff>
    </xdr:from>
    <xdr:to>
      <xdr:col>0</xdr:col>
      <xdr:colOff>1711005</xdr:colOff>
      <xdr:row>13</xdr:row>
      <xdr:rowOff>47449</xdr:rowOff>
    </xdr:to>
    <xdr:grpSp>
      <xdr:nvGrpSpPr>
        <xdr:cNvPr id="25" name="Group 24">
          <a:extLst>
            <a:ext uri="{FF2B5EF4-FFF2-40B4-BE49-F238E27FC236}">
              <a16:creationId xmlns:a16="http://schemas.microsoft.com/office/drawing/2014/main" id="{2E7AA585-9F80-2CE7-834F-05F716D86EAC}"/>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7107EE19-1503-5659-0E51-F2728507D1E3}"/>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E06A27E1-C0AC-63F7-99FE-581F47FBA138}"/>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37B1E540-ACA8-D795-F3C4-8A3AAA50B913}"/>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9F8D58BC-70B3-B6B0-9836-57CB141659E6}"/>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13</xdr:row>
      <xdr:rowOff>64766</xdr:rowOff>
    </xdr:from>
    <xdr:to>
      <xdr:col>0</xdr:col>
      <xdr:colOff>1712668</xdr:colOff>
      <xdr:row>13</xdr:row>
      <xdr:rowOff>520344</xdr:rowOff>
    </xdr:to>
    <xdr:grpSp>
      <xdr:nvGrpSpPr>
        <xdr:cNvPr id="27" name="Group 26">
          <a:extLst>
            <a:ext uri="{FF2B5EF4-FFF2-40B4-BE49-F238E27FC236}">
              <a16:creationId xmlns:a16="http://schemas.microsoft.com/office/drawing/2014/main" id="{2B228A4D-5432-4B3D-F935-9A14402C164E}"/>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E0FB7429-4BC2-63B0-9C09-54EA25126DFD}"/>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29146368-E93F-6AA3-B19B-BBA8C1ECDC64}"/>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7F8EFF8A-0ACB-80CB-F776-E1719BA3C710}"/>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F09D1EFA-94AA-6972-88F6-506053E7A471}"/>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13</xdr:row>
      <xdr:rowOff>539182</xdr:rowOff>
    </xdr:from>
    <xdr:to>
      <xdr:col>0</xdr:col>
      <xdr:colOff>1711471</xdr:colOff>
      <xdr:row>13</xdr:row>
      <xdr:rowOff>1027659</xdr:rowOff>
    </xdr:to>
    <xdr:grpSp>
      <xdr:nvGrpSpPr>
        <xdr:cNvPr id="28" name="Group 27">
          <a:extLst>
            <a:ext uri="{FF2B5EF4-FFF2-40B4-BE49-F238E27FC236}">
              <a16:creationId xmlns:a16="http://schemas.microsoft.com/office/drawing/2014/main" id="{66425F55-1D7A-DA6C-FFE3-7711D6ACA834}"/>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19962BBE-7883-C2B4-0912-5D354CE199F5}"/>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0DA25933-A8B5-8220-E796-3152B064F10D}"/>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2F941FA7-05FF-C41B-93C3-8D56D2E7F9BE}"/>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A911F762-6143-3F1D-22CD-570243F5553A}"/>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9</xdr:row>
      <xdr:rowOff>309897</xdr:rowOff>
    </xdr:from>
    <xdr:to>
      <xdr:col>0</xdr:col>
      <xdr:colOff>1707169</xdr:colOff>
      <xdr:row>9</xdr:row>
      <xdr:rowOff>795316</xdr:rowOff>
    </xdr:to>
    <xdr:grpSp>
      <xdr:nvGrpSpPr>
        <xdr:cNvPr id="29" name="Group 28">
          <a:extLst>
            <a:ext uri="{FF2B5EF4-FFF2-40B4-BE49-F238E27FC236}">
              <a16:creationId xmlns:a16="http://schemas.microsoft.com/office/drawing/2014/main" id="{001E37CA-2EB5-ACCD-2B83-8D5C686057CF}"/>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11275160-ED5B-1FDE-B03D-01C63611A5E5}"/>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DF112295-C28C-D278-FA7F-565250AAA21A}"/>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E97DCAEB-1847-3BA4-3D3D-43865023105B}"/>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B8B0E27C-3B7E-AA05-6CCD-EBAE89BB00C5}"/>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13</xdr:row>
      <xdr:rowOff>1040204</xdr:rowOff>
    </xdr:from>
    <xdr:to>
      <xdr:col>0</xdr:col>
      <xdr:colOff>1711953</xdr:colOff>
      <xdr:row>14</xdr:row>
      <xdr:rowOff>423781</xdr:rowOff>
    </xdr:to>
    <xdr:grpSp>
      <xdr:nvGrpSpPr>
        <xdr:cNvPr id="32" name="Group 31">
          <a:extLst>
            <a:ext uri="{FF2B5EF4-FFF2-40B4-BE49-F238E27FC236}">
              <a16:creationId xmlns:a16="http://schemas.microsoft.com/office/drawing/2014/main" id="{DBAC388C-9616-2512-FB78-4DABCD50ECA0}"/>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66C4ACD3-C7AC-4964-652E-F9AE2F75A753}"/>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C699B0A0-E093-55BC-1BB9-7B06B172E6E5}"/>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48F31FDC-8C4C-4619-2E75-2597EFA273C7}"/>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F2B2B0FF-13DE-7E5B-FF04-A0D3615F182F}"/>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F0FEE89D-7398-42B1-9BD2-AC3E87E97296}"/>
            </a:ext>
          </a:extLst>
        </xdr:cNvPr>
        <xdr:cNvGrpSpPr/>
      </xdr:nvGrpSpPr>
      <xdr:grpSpPr>
        <a:xfrm>
          <a:off x="103378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A6737E86-E6F1-D539-D0E4-D6EFA9D585E9}"/>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547493DC-5BBA-05A9-5F20-A88EC0876FC1}"/>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14</xdr:row>
      <xdr:rowOff>457200</xdr:rowOff>
    </xdr:from>
    <xdr:to>
      <xdr:col>0</xdr:col>
      <xdr:colOff>1713549</xdr:colOff>
      <xdr:row>16</xdr:row>
      <xdr:rowOff>296284</xdr:rowOff>
    </xdr:to>
    <xdr:grpSp>
      <xdr:nvGrpSpPr>
        <xdr:cNvPr id="163" name="Group 162">
          <a:extLst>
            <a:ext uri="{FF2B5EF4-FFF2-40B4-BE49-F238E27FC236}">
              <a16:creationId xmlns:a16="http://schemas.microsoft.com/office/drawing/2014/main" id="{84B5BDA0-D8F7-45F1-8FC0-78303AA0CF90}"/>
            </a:ext>
          </a:extLst>
        </xdr:cNvPr>
        <xdr:cNvGrpSpPr/>
      </xdr:nvGrpSpPr>
      <xdr:grpSpPr>
        <a:xfrm>
          <a:off x="0" y="12458700"/>
          <a:ext cx="1713549" cy="2233034"/>
          <a:chOff x="5137727" y="13144500"/>
          <a:chExt cx="1713549" cy="2252946"/>
        </a:xfrm>
      </xdr:grpSpPr>
      <xdr:grpSp>
        <xdr:nvGrpSpPr>
          <xdr:cNvPr id="164" name="Group 163">
            <a:extLst>
              <a:ext uri="{FF2B5EF4-FFF2-40B4-BE49-F238E27FC236}">
                <a16:creationId xmlns:a16="http://schemas.microsoft.com/office/drawing/2014/main" id="{141E08A4-6990-3000-87AF-F78C8D103A21}"/>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D16A0249-79C4-DE70-092B-F56E9CD319D8}"/>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9C4EDC79-2891-4FBE-F318-553D7AA25F42}"/>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D53BF600-8DFC-9C45-ECDA-EF58939B9D8D}"/>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92B8E102-C83F-074C-E5F4-2BA81CD33C10}"/>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333C1C88-3B80-BCFC-3741-E0A9DCD99282}"/>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B1927653-1F02-D351-C3DF-1F37D3C9DB0C}"/>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A6704A07-7FC3-BEB6-FF1A-16E22D682B38}"/>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975C9FA9-9D2E-1013-FF89-CF221C1A0593}"/>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F5842F9E-B9A0-65B6-04BA-6009C6A45A19}"/>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6683AACE-96E7-597D-A606-5EAFF9272FCC}"/>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6BE42C49-608C-E42C-96B0-4940862E342E}"/>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1F1D171E-5382-2BC7-DC85-E4D1E13C4AE3}"/>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C93FF9DD-D659-63B2-8085-35E080A5439B}"/>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E54BE151-DB78-164B-F064-8215BCAA133A}"/>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ABDEFEB9-9A9E-E67D-23A9-A8D1FF6E2C8B}"/>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ED6DD5AE-FFAD-BFD6-ADCB-A3C7A828F082}"/>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F1615644-3F47-6496-8387-773091198F08}"/>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19F7AE01-F259-DCD8-EB81-49A64534345C}"/>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DD35987D-F960-7FB2-C4C5-08AE18BBCA7C}"/>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D9C71B38-FE80-D9B6-585B-6FA66C1DBB17}"/>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29</xdr:row>
      <xdr:rowOff>82550</xdr:rowOff>
    </xdr:to>
    <xdr:sp macro="" textlink="">
      <xdr:nvSpPr>
        <xdr:cNvPr id="4" name="Rectangle: Rounded Corners 3">
          <a:extLst>
            <a:ext uri="{FF2B5EF4-FFF2-40B4-BE49-F238E27FC236}">
              <a16:creationId xmlns:a16="http://schemas.microsoft.com/office/drawing/2014/main" id="{8447F8C3-179D-C890-1D13-ACFE4C306110}"/>
            </a:ext>
          </a:extLst>
        </xdr:cNvPr>
        <xdr:cNvSpPr/>
      </xdr:nvSpPr>
      <xdr:spPr>
        <a:xfrm>
          <a:off x="0" y="0"/>
          <a:ext cx="1841776" cy="148463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B959168E-D5E2-0509-F135-2EFD0D10D4A9}"/>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70799424-4170-0D0F-AC8C-0ECE6A3891AB}"/>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73E7B662-E2B4-B292-AD89-F6B2E306DECB}"/>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58E5501E-D23B-9569-CB3F-75E202C8BB8C}"/>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398C25E1-BEDA-743C-685F-9A87C4EF647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69124</xdr:rowOff>
    </xdr:to>
    <xdr:grpSp>
      <xdr:nvGrpSpPr>
        <xdr:cNvPr id="7" name="Group 6">
          <a:extLst>
            <a:ext uri="{FF2B5EF4-FFF2-40B4-BE49-F238E27FC236}">
              <a16:creationId xmlns:a16="http://schemas.microsoft.com/office/drawing/2014/main" id="{88301B72-5CC9-B378-2F3D-FD8E43F27536}"/>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97AF58EA-11B7-2352-F083-6649E02F68A8}"/>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6E8D1CAE-9DAC-05A1-E7C5-2E21E5D522EC}"/>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23B98E10-CEBD-2AF1-5F5F-C6B257160362}"/>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598989</xdr:rowOff>
    </xdr:from>
    <xdr:to>
      <xdr:col>0</xdr:col>
      <xdr:colOff>1717958</xdr:colOff>
      <xdr:row>5</xdr:row>
      <xdr:rowOff>126051</xdr:rowOff>
    </xdr:to>
    <xdr:grpSp>
      <xdr:nvGrpSpPr>
        <xdr:cNvPr id="8" name="Group 7">
          <a:extLst>
            <a:ext uri="{FF2B5EF4-FFF2-40B4-BE49-F238E27FC236}">
              <a16:creationId xmlns:a16="http://schemas.microsoft.com/office/drawing/2014/main" id="{A9088446-8A89-C67D-FA3F-9D324C37756E}"/>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5C23F4FD-F2C4-251E-B2AC-6B380EB3B2A5}"/>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E4E9B8AB-147A-9246-AD16-622D56343449}"/>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916E3BED-0472-936B-50E1-43356DE59834}"/>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147702</xdr:rowOff>
    </xdr:from>
    <xdr:to>
      <xdr:col>0</xdr:col>
      <xdr:colOff>1715516</xdr:colOff>
      <xdr:row>6</xdr:row>
      <xdr:rowOff>225377</xdr:rowOff>
    </xdr:to>
    <xdr:grpSp>
      <xdr:nvGrpSpPr>
        <xdr:cNvPr id="9" name="Group 8">
          <a:extLst>
            <a:ext uri="{FF2B5EF4-FFF2-40B4-BE49-F238E27FC236}">
              <a16:creationId xmlns:a16="http://schemas.microsoft.com/office/drawing/2014/main" id="{ABE303F7-E1F6-20A1-9ABF-C0923073FA4A}"/>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BDD1F4B0-1DB0-41A5-F272-8348E0ACE287}"/>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8361EE8A-D747-A638-2F03-A25322B21C20}"/>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A5C8DF28-6B8D-9E6E-BB56-2EA25D42223F}"/>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239656</xdr:rowOff>
    </xdr:from>
    <xdr:to>
      <xdr:col>0</xdr:col>
      <xdr:colOff>1713076</xdr:colOff>
      <xdr:row>7</xdr:row>
      <xdr:rowOff>146052</xdr:rowOff>
    </xdr:to>
    <xdr:grpSp>
      <xdr:nvGrpSpPr>
        <xdr:cNvPr id="10" name="Group 9">
          <a:extLst>
            <a:ext uri="{FF2B5EF4-FFF2-40B4-BE49-F238E27FC236}">
              <a16:creationId xmlns:a16="http://schemas.microsoft.com/office/drawing/2014/main" id="{D3DA843B-AC60-2168-F897-3A4EBF54C667}"/>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1B112043-09AE-B216-4756-6C426B0566C0}"/>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D3E49C8E-7C9B-4135-E033-DAB94A9D553C}"/>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A31E93B0-392B-AC52-8980-2313D3A0CACA}"/>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227DF23C-2F23-8DFB-9D5A-011F8C5C91E6}"/>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91425</xdr:rowOff>
    </xdr:from>
    <xdr:to>
      <xdr:col>0</xdr:col>
      <xdr:colOff>1716667</xdr:colOff>
      <xdr:row>4</xdr:row>
      <xdr:rowOff>578364</xdr:rowOff>
    </xdr:to>
    <xdr:grpSp>
      <xdr:nvGrpSpPr>
        <xdr:cNvPr id="11" name="Group 10">
          <a:extLst>
            <a:ext uri="{FF2B5EF4-FFF2-40B4-BE49-F238E27FC236}">
              <a16:creationId xmlns:a16="http://schemas.microsoft.com/office/drawing/2014/main" id="{49AAD867-0403-2827-2046-1306EB4CF111}"/>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92CE42C2-FBC3-766E-F486-B1E4DB9829DD}"/>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5E4E052A-DC7E-952D-2D9A-08B47246F503}"/>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836DAFF6-9365-8312-1D41-62E3022D50C0}"/>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159236</xdr:rowOff>
    </xdr:from>
    <xdr:to>
      <xdr:col>0</xdr:col>
      <xdr:colOff>1713094</xdr:colOff>
      <xdr:row>8</xdr:row>
      <xdr:rowOff>90305</xdr:rowOff>
    </xdr:to>
    <xdr:grpSp>
      <xdr:nvGrpSpPr>
        <xdr:cNvPr id="12" name="Group 11">
          <a:extLst>
            <a:ext uri="{FF2B5EF4-FFF2-40B4-BE49-F238E27FC236}">
              <a16:creationId xmlns:a16="http://schemas.microsoft.com/office/drawing/2014/main" id="{BF8AFB3D-BBFD-E4FB-F3B0-7DBDA6CAD12C}"/>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3F9B67B1-A9A3-F351-0B3A-D99F1744E299}"/>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FFB4956B-3A2A-AB83-EB7B-FC4171C6E1CF}"/>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58617C73-51C1-2A3B-365B-CC1279ED6493}"/>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0EE58D15-6C61-83EC-A13E-B6AB375A9BEA}"/>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103103</xdr:rowOff>
    </xdr:from>
    <xdr:to>
      <xdr:col>0</xdr:col>
      <xdr:colOff>1713246</xdr:colOff>
      <xdr:row>8</xdr:row>
      <xdr:rowOff>564910</xdr:rowOff>
    </xdr:to>
    <xdr:grpSp>
      <xdr:nvGrpSpPr>
        <xdr:cNvPr id="13" name="Group 12">
          <a:extLst>
            <a:ext uri="{FF2B5EF4-FFF2-40B4-BE49-F238E27FC236}">
              <a16:creationId xmlns:a16="http://schemas.microsoft.com/office/drawing/2014/main" id="{9368E3B6-3F0E-829F-5ED7-99641A6BF9D1}"/>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CB325D15-587D-C1E6-2111-0CAD118425C9}"/>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CB7FD65D-410E-A7BF-0E1C-5C8E9E3E5B39}"/>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740F39C5-DBF3-377B-0AC6-867B6B794F74}"/>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D2EB649C-724D-D6B4-AF97-CA4A9BA1FCD6}"/>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582140</xdr:rowOff>
    </xdr:from>
    <xdr:to>
      <xdr:col>0</xdr:col>
      <xdr:colOff>1709917</xdr:colOff>
      <xdr:row>9</xdr:row>
      <xdr:rowOff>340158</xdr:rowOff>
    </xdr:to>
    <xdr:grpSp>
      <xdr:nvGrpSpPr>
        <xdr:cNvPr id="14" name="Group 13">
          <a:extLst>
            <a:ext uri="{FF2B5EF4-FFF2-40B4-BE49-F238E27FC236}">
              <a16:creationId xmlns:a16="http://schemas.microsoft.com/office/drawing/2014/main" id="{7A2654EA-C19E-AC90-8C05-766226A15162}"/>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743346D8-7959-9769-00B0-A61972CCF561}"/>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D7AB1165-C996-7E5D-2DA6-CC94CDD38450}"/>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B59C16C7-CE44-DFE4-3473-BB178F317EA6}"/>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732D198E-2987-8F46-E9B9-2E49216A8CE0}"/>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362497</xdr:rowOff>
    </xdr:from>
    <xdr:to>
      <xdr:col>0</xdr:col>
      <xdr:colOff>1709302</xdr:colOff>
      <xdr:row>9</xdr:row>
      <xdr:rowOff>818831</xdr:rowOff>
    </xdr:to>
    <xdr:grpSp>
      <xdr:nvGrpSpPr>
        <xdr:cNvPr id="15" name="Group 14">
          <a:extLst>
            <a:ext uri="{FF2B5EF4-FFF2-40B4-BE49-F238E27FC236}">
              <a16:creationId xmlns:a16="http://schemas.microsoft.com/office/drawing/2014/main" id="{808DDB3B-09D5-6EB8-D009-CCBF5BAED761}"/>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5278B061-EBB0-4368-8540-FE76E0D02ADC}"/>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23550757-3B23-DFD2-E664-768412CCF376}"/>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62066824-304E-6E85-38B7-F6DEACA4C559}"/>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84555709-1D00-09FA-0D9B-B62D17EEDD4D}"/>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9</xdr:row>
      <xdr:rowOff>837748</xdr:rowOff>
    </xdr:from>
    <xdr:to>
      <xdr:col>0</xdr:col>
      <xdr:colOff>1709298</xdr:colOff>
      <xdr:row>11</xdr:row>
      <xdr:rowOff>38044</xdr:rowOff>
    </xdr:to>
    <xdr:grpSp>
      <xdr:nvGrpSpPr>
        <xdr:cNvPr id="16" name="Group 15">
          <a:extLst>
            <a:ext uri="{FF2B5EF4-FFF2-40B4-BE49-F238E27FC236}">
              <a16:creationId xmlns:a16="http://schemas.microsoft.com/office/drawing/2014/main" id="{430B9B9C-3D87-C1B6-B274-2609165399A4}"/>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C5308C84-0546-993D-60C7-9E16BE1CCC3E}"/>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78028781-5294-6C40-0F0C-D6F1223F2DF6}"/>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3FFA8174-C6AD-CEB3-6234-250F1A84FEA6}"/>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F9FFCC1A-D74C-A6C0-8099-AA102889FB67}"/>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55899</xdr:rowOff>
    </xdr:from>
    <xdr:to>
      <xdr:col>0</xdr:col>
      <xdr:colOff>1709296</xdr:colOff>
      <xdr:row>11</xdr:row>
      <xdr:rowOff>550517</xdr:rowOff>
    </xdr:to>
    <xdr:grpSp>
      <xdr:nvGrpSpPr>
        <xdr:cNvPr id="17" name="Group 16">
          <a:extLst>
            <a:ext uri="{FF2B5EF4-FFF2-40B4-BE49-F238E27FC236}">
              <a16:creationId xmlns:a16="http://schemas.microsoft.com/office/drawing/2014/main" id="{DEFEADCA-45EE-53FF-7D8D-749AB93CC3C2}"/>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AFE6DB70-769E-41FE-0F52-FB31C9C6E2EC}"/>
              </a:ext>
            </a:extLst>
          </xdr:cNvPr>
          <xdr:cNvSpPr/>
        </xdr:nvSpPr>
        <xdr:spPr>
          <a:xfrm>
            <a:off x="2213" y="5945381"/>
            <a:ext cx="1709047" cy="479074"/>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825EA00C-CCDD-FF2F-19E4-C82F9CE1C874}"/>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96" name="Oval 95">
            <a:extLst>
              <a:ext uri="{FF2B5EF4-FFF2-40B4-BE49-F238E27FC236}">
                <a16:creationId xmlns:a16="http://schemas.microsoft.com/office/drawing/2014/main" id="{40DAD224-BF1E-4B7F-E5C2-18F4B2B79931}"/>
              </a:ext>
            </a:extLst>
          </xdr:cNvPr>
          <xdr:cNvSpPr/>
        </xdr:nvSpPr>
        <xdr:spPr>
          <a:xfrm>
            <a:off x="96799" y="6027856"/>
            <a:ext cx="286142" cy="313272"/>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687B58EA-F705-F9E5-5276-AF69CE3A6806}"/>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bg1"/>
                </a:solidFill>
              </a:rPr>
              <a:t>CF</a:t>
            </a:r>
          </a:p>
        </xdr:txBody>
      </xdr:sp>
    </xdr:grpSp>
    <xdr:clientData/>
  </xdr:twoCellAnchor>
  <xdr:twoCellAnchor>
    <xdr:from>
      <xdr:col>0</xdr:col>
      <xdr:colOff>842</xdr:colOff>
      <xdr:row>11</xdr:row>
      <xdr:rowOff>570307</xdr:rowOff>
    </xdr:from>
    <xdr:to>
      <xdr:col>0</xdr:col>
      <xdr:colOff>1708011</xdr:colOff>
      <xdr:row>12</xdr:row>
      <xdr:rowOff>290831</xdr:rowOff>
    </xdr:to>
    <xdr:grpSp>
      <xdr:nvGrpSpPr>
        <xdr:cNvPr id="18" name="Group 17">
          <a:extLst>
            <a:ext uri="{FF2B5EF4-FFF2-40B4-BE49-F238E27FC236}">
              <a16:creationId xmlns:a16="http://schemas.microsoft.com/office/drawing/2014/main" id="{664E0236-DE57-3F5C-5E8A-9460B4F5FD3A}"/>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5788A447-7CF1-6E0D-D359-2D27ED3F71DB}"/>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6906B7A7-A9DD-BB8D-13F4-7AC1D8A704DF}"/>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AF591897-0A1A-8D88-ABCA-E23B72D94811}"/>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60C9A357-0E1C-E6CD-E514-330FEEBC656E}"/>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13</xdr:row>
      <xdr:rowOff>266343</xdr:rowOff>
    </xdr:from>
    <xdr:to>
      <xdr:col>0</xdr:col>
      <xdr:colOff>1708946</xdr:colOff>
      <xdr:row>14</xdr:row>
      <xdr:rowOff>179136</xdr:rowOff>
    </xdr:to>
    <xdr:grpSp>
      <xdr:nvGrpSpPr>
        <xdr:cNvPr id="19" name="Group 18">
          <a:extLst>
            <a:ext uri="{FF2B5EF4-FFF2-40B4-BE49-F238E27FC236}">
              <a16:creationId xmlns:a16="http://schemas.microsoft.com/office/drawing/2014/main" id="{50C8B3F9-C015-12CB-2D97-066CBE20F30E}"/>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07A3B7C3-C736-9AEB-212A-E5B2805EE848}"/>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ABCCC287-621D-CDE6-6C9C-F80E8D3AB6F9}"/>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F49397A8-ABAF-F90C-E308-9502920CFC0D}"/>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215094C9-85A3-966E-7742-08BD2642C764}"/>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14</xdr:row>
      <xdr:rowOff>206684</xdr:rowOff>
    </xdr:from>
    <xdr:to>
      <xdr:col>0</xdr:col>
      <xdr:colOff>1710873</xdr:colOff>
      <xdr:row>14</xdr:row>
      <xdr:rowOff>695129</xdr:rowOff>
    </xdr:to>
    <xdr:grpSp>
      <xdr:nvGrpSpPr>
        <xdr:cNvPr id="20" name="Group 19">
          <a:extLst>
            <a:ext uri="{FF2B5EF4-FFF2-40B4-BE49-F238E27FC236}">
              <a16:creationId xmlns:a16="http://schemas.microsoft.com/office/drawing/2014/main" id="{A6B952B1-3DD3-D432-10AF-B269F59A2772}"/>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F78827D9-D563-725A-D205-57EAE519EC8A}"/>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093DEC33-5781-9936-F947-2AC7418D634A}"/>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27841C2D-25D8-F1F2-8746-7621D517287F}"/>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4D301767-2A35-37E3-6CD8-F9ED18462495}"/>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14</xdr:row>
      <xdr:rowOff>719235</xdr:rowOff>
    </xdr:from>
    <xdr:to>
      <xdr:col>0</xdr:col>
      <xdr:colOff>1712157</xdr:colOff>
      <xdr:row>15</xdr:row>
      <xdr:rowOff>77067</xdr:rowOff>
    </xdr:to>
    <xdr:grpSp>
      <xdr:nvGrpSpPr>
        <xdr:cNvPr id="21" name="Group 20">
          <a:extLst>
            <a:ext uri="{FF2B5EF4-FFF2-40B4-BE49-F238E27FC236}">
              <a16:creationId xmlns:a16="http://schemas.microsoft.com/office/drawing/2014/main" id="{569E1AB1-E3BE-62F9-ACA4-48A1739B6205}"/>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FB30C73B-3BC3-6396-9A40-6153B02EF076}"/>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E0248474-708C-560B-0BD3-58A8EF4F659D}"/>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6190B4F4-B171-1F62-AC22-7192EA404246}"/>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3EFFB3E6-D15D-4DC9-B7FC-437B2B65488B}"/>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15</xdr:row>
      <xdr:rowOff>89855</xdr:rowOff>
    </xdr:from>
    <xdr:to>
      <xdr:col>0</xdr:col>
      <xdr:colOff>1713207</xdr:colOff>
      <xdr:row>16</xdr:row>
      <xdr:rowOff>25282</xdr:rowOff>
    </xdr:to>
    <xdr:grpSp>
      <xdr:nvGrpSpPr>
        <xdr:cNvPr id="22" name="Group 21">
          <a:extLst>
            <a:ext uri="{FF2B5EF4-FFF2-40B4-BE49-F238E27FC236}">
              <a16:creationId xmlns:a16="http://schemas.microsoft.com/office/drawing/2014/main" id="{5325F363-2D49-D396-1FAD-5D381A566A39}"/>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135E7EB4-28B5-2CF4-CD51-54F35EA4390A}"/>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99E39453-3E2F-B2A5-72CB-44CBF17A7F38}"/>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4AD73902-DD6B-5147-5F2E-13CAAC08CF3B}"/>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316B44AA-B153-7F3E-E513-8FAD165EAF92}"/>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16</xdr:row>
      <xdr:rowOff>550490</xdr:rowOff>
    </xdr:from>
    <xdr:to>
      <xdr:col>0</xdr:col>
      <xdr:colOff>1711774</xdr:colOff>
      <xdr:row>17</xdr:row>
      <xdr:rowOff>280403</xdr:rowOff>
    </xdr:to>
    <xdr:grpSp>
      <xdr:nvGrpSpPr>
        <xdr:cNvPr id="23" name="Group 22">
          <a:extLst>
            <a:ext uri="{FF2B5EF4-FFF2-40B4-BE49-F238E27FC236}">
              <a16:creationId xmlns:a16="http://schemas.microsoft.com/office/drawing/2014/main" id="{396D3999-0FEA-BC8C-E060-38B9AD597F2A}"/>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671A54A7-A9B6-378E-1FCF-AF47F4D2D50A}"/>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F2FE0259-0EF1-4280-D387-FF6D2E0BA6F3}"/>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6427BB70-9B5F-BB01-3951-52814DC15401}"/>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AA8920FF-E7E9-673F-9FC0-097CD8790F9A}"/>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16</xdr:row>
      <xdr:rowOff>43265</xdr:rowOff>
    </xdr:from>
    <xdr:to>
      <xdr:col>0</xdr:col>
      <xdr:colOff>1712537</xdr:colOff>
      <xdr:row>16</xdr:row>
      <xdr:rowOff>526211</xdr:rowOff>
    </xdr:to>
    <xdr:grpSp>
      <xdr:nvGrpSpPr>
        <xdr:cNvPr id="24" name="Group 23">
          <a:extLst>
            <a:ext uri="{FF2B5EF4-FFF2-40B4-BE49-F238E27FC236}">
              <a16:creationId xmlns:a16="http://schemas.microsoft.com/office/drawing/2014/main" id="{F33CD82E-C29C-4B9D-F5AE-F051C4A0B6E7}"/>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00347AC0-B44F-3146-D136-8CA85828E6D7}"/>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2099A96C-86C6-DA89-6B3D-081D618184C5}"/>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D0FBA9D1-8FA7-DC31-CDB5-67B17071DF92}"/>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6C549D48-E666-23CF-080D-6E6F9760C031}"/>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17</xdr:row>
      <xdr:rowOff>288802</xdr:rowOff>
    </xdr:from>
    <xdr:to>
      <xdr:col>0</xdr:col>
      <xdr:colOff>1711005</xdr:colOff>
      <xdr:row>18</xdr:row>
      <xdr:rowOff>47449</xdr:rowOff>
    </xdr:to>
    <xdr:grpSp>
      <xdr:nvGrpSpPr>
        <xdr:cNvPr id="25" name="Group 24">
          <a:extLst>
            <a:ext uri="{FF2B5EF4-FFF2-40B4-BE49-F238E27FC236}">
              <a16:creationId xmlns:a16="http://schemas.microsoft.com/office/drawing/2014/main" id="{8C452261-E4D0-A470-0BEE-14D77EB94AC0}"/>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11ED72E6-1347-91E8-EC69-372B104A1E85}"/>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DE768B8D-6804-329C-D587-AAF9AF97BFF1}"/>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845B6B81-E46C-3D51-792C-B44A9B19DB43}"/>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BF73B585-B441-9263-7EC7-1E1148F0849B}"/>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18</xdr:row>
      <xdr:rowOff>64766</xdr:rowOff>
    </xdr:from>
    <xdr:to>
      <xdr:col>0</xdr:col>
      <xdr:colOff>1712668</xdr:colOff>
      <xdr:row>18</xdr:row>
      <xdr:rowOff>520344</xdr:rowOff>
    </xdr:to>
    <xdr:grpSp>
      <xdr:nvGrpSpPr>
        <xdr:cNvPr id="27" name="Group 26">
          <a:extLst>
            <a:ext uri="{FF2B5EF4-FFF2-40B4-BE49-F238E27FC236}">
              <a16:creationId xmlns:a16="http://schemas.microsoft.com/office/drawing/2014/main" id="{C88F971F-AFF1-06B9-09D3-47BCE7363307}"/>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232F1223-F550-1720-2F6F-5445C48162B9}"/>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1663DA42-A271-0B2E-AE31-4E03F6A64D26}"/>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A106A97B-DF40-3279-FF15-7A3C14FE5DE5}"/>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C07B0F94-1358-9860-57C5-3E35AF482E65}"/>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18</xdr:row>
      <xdr:rowOff>539182</xdr:rowOff>
    </xdr:from>
    <xdr:to>
      <xdr:col>0</xdr:col>
      <xdr:colOff>1711471</xdr:colOff>
      <xdr:row>19</xdr:row>
      <xdr:rowOff>475209</xdr:rowOff>
    </xdr:to>
    <xdr:grpSp>
      <xdr:nvGrpSpPr>
        <xdr:cNvPr id="28" name="Group 27">
          <a:extLst>
            <a:ext uri="{FF2B5EF4-FFF2-40B4-BE49-F238E27FC236}">
              <a16:creationId xmlns:a16="http://schemas.microsoft.com/office/drawing/2014/main" id="{C9F695B7-565C-395B-B90E-CDCE3906CBE1}"/>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6EF17344-6E37-C54F-CC77-BEF798135024}"/>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71F4689B-B03B-3C25-216B-E8D9B19F0567}"/>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5B0BBDC6-B335-A7B8-C5DF-C5C157AD67D3}"/>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5EED0917-6E76-4E43-43B8-6B8D1DB3A103}"/>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12</xdr:row>
      <xdr:rowOff>309897</xdr:rowOff>
    </xdr:from>
    <xdr:to>
      <xdr:col>0</xdr:col>
      <xdr:colOff>1707169</xdr:colOff>
      <xdr:row>13</xdr:row>
      <xdr:rowOff>242866</xdr:rowOff>
    </xdr:to>
    <xdr:grpSp>
      <xdr:nvGrpSpPr>
        <xdr:cNvPr id="29" name="Group 28">
          <a:extLst>
            <a:ext uri="{FF2B5EF4-FFF2-40B4-BE49-F238E27FC236}">
              <a16:creationId xmlns:a16="http://schemas.microsoft.com/office/drawing/2014/main" id="{FA7AC437-220D-10B1-9BE8-9F98462BF5FC}"/>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7ED58FE8-6534-6BA3-C9E7-952598F2D036}"/>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26727B37-EFB8-B32F-1CBB-1013DD6B5382}"/>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F8059537-0B17-EE4C-1F26-BED4E9ED1CFA}"/>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F1B0C4B7-EFE0-7FEA-FCD0-39262967DA40}"/>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19</xdr:row>
      <xdr:rowOff>487754</xdr:rowOff>
    </xdr:from>
    <xdr:to>
      <xdr:col>0</xdr:col>
      <xdr:colOff>1711953</xdr:colOff>
      <xdr:row>20</xdr:row>
      <xdr:rowOff>55481</xdr:rowOff>
    </xdr:to>
    <xdr:grpSp>
      <xdr:nvGrpSpPr>
        <xdr:cNvPr id="32" name="Group 31">
          <a:extLst>
            <a:ext uri="{FF2B5EF4-FFF2-40B4-BE49-F238E27FC236}">
              <a16:creationId xmlns:a16="http://schemas.microsoft.com/office/drawing/2014/main" id="{30871D94-CD5B-20E2-C7AD-5D509261A15D}"/>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2D951CAB-10E8-B4DD-1BE5-1C26B7518ECF}"/>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9A64475C-1AE7-8469-1F9B-91696DBEFF18}"/>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E35280DD-5027-732C-18CD-16526A4606BF}"/>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60D91E48-CEAB-E86A-3E21-CAE9EC46AC69}"/>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5AF194E9-FEA4-4152-8CBB-E353DBBA1CE9}"/>
            </a:ext>
          </a:extLst>
        </xdr:cNvPr>
        <xdr:cNvGrpSpPr/>
      </xdr:nvGrpSpPr>
      <xdr:grpSpPr>
        <a:xfrm>
          <a:off x="82296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4FE3EA47-118C-96BB-F711-696C89BD51FC}"/>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CA78F1AB-C9F7-7F85-F42A-4AF1FCBA4BFE}"/>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20</xdr:row>
      <xdr:rowOff>82550</xdr:rowOff>
    </xdr:from>
    <xdr:to>
      <xdr:col>0</xdr:col>
      <xdr:colOff>1713549</xdr:colOff>
      <xdr:row>28</xdr:row>
      <xdr:rowOff>105784</xdr:rowOff>
    </xdr:to>
    <xdr:grpSp>
      <xdr:nvGrpSpPr>
        <xdr:cNvPr id="163" name="Group 162">
          <a:extLst>
            <a:ext uri="{FF2B5EF4-FFF2-40B4-BE49-F238E27FC236}">
              <a16:creationId xmlns:a16="http://schemas.microsoft.com/office/drawing/2014/main" id="{CEA3A890-53DE-4B24-BA7D-89876634EC7B}"/>
            </a:ext>
          </a:extLst>
        </xdr:cNvPr>
        <xdr:cNvGrpSpPr/>
      </xdr:nvGrpSpPr>
      <xdr:grpSpPr>
        <a:xfrm>
          <a:off x="0" y="12452350"/>
          <a:ext cx="1713549" cy="2233034"/>
          <a:chOff x="5137727" y="13144500"/>
          <a:chExt cx="1713549" cy="2252946"/>
        </a:xfrm>
      </xdr:grpSpPr>
      <xdr:grpSp>
        <xdr:nvGrpSpPr>
          <xdr:cNvPr id="164" name="Group 163">
            <a:extLst>
              <a:ext uri="{FF2B5EF4-FFF2-40B4-BE49-F238E27FC236}">
                <a16:creationId xmlns:a16="http://schemas.microsoft.com/office/drawing/2014/main" id="{354B07D1-DBAD-B5A4-37C6-63216F9433C1}"/>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85ACCF34-F87A-5C6C-E4B4-0EDA05A4CDBF}"/>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67F6D1A5-6A8C-169F-6AC3-FDFA1B932DE7}"/>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09CF999B-A170-80EF-A5EB-6187FDAE0BA0}"/>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68A23CDE-FDC6-9F18-CFF6-086F9C587EE2}"/>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DD4B7000-C924-2AEB-1B90-08D4385BBC61}"/>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6E6AB3BA-51FA-46F2-937F-4E3773FD384D}"/>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2A35634E-E279-84B1-AD9A-493D1BF7081C}"/>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ECF14D7C-DF71-44D3-639E-9C0A51DCD367}"/>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0B912FBD-FAB6-7AF8-77A6-E28A9C51CDE7}"/>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A33BB705-6A9F-BD94-E2B4-54B52883C2D9}"/>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F9ED87FE-3B50-8F5C-6ECB-213366F17878}"/>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14126712-0A43-B7B2-B10F-0749F04C2F5A}"/>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8B5A5477-0CFA-0C16-4241-30549A72CC73}"/>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8FF292FA-8CBE-5E2E-9C94-92EE1EC03E4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66C9F200-BA28-318A-4B3E-1F02699FDEF0}"/>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3E2A7999-5166-D17E-F71E-C1B0B6C7DD52}"/>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3B2C4EEA-3BCF-1474-CD95-58E919F7DA43}"/>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4C0D0B3C-1FD2-DF4B-4D38-DBE50B0E9C46}"/>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E6D81B70-78C3-441C-A809-C1DCC4F9C1E8}"/>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B83EEE30-4CB8-9415-8CB2-AFBABC34B67C}"/>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56</xdr:row>
      <xdr:rowOff>114300</xdr:rowOff>
    </xdr:to>
    <xdr:sp macro="" textlink="">
      <xdr:nvSpPr>
        <xdr:cNvPr id="4" name="Rectangle: Rounded Corners 3">
          <a:extLst>
            <a:ext uri="{FF2B5EF4-FFF2-40B4-BE49-F238E27FC236}">
              <a16:creationId xmlns:a16="http://schemas.microsoft.com/office/drawing/2014/main" id="{FE818E3C-E49B-9FDF-FE48-2018398EB8C8}"/>
            </a:ext>
          </a:extLst>
        </xdr:cNvPr>
        <xdr:cNvSpPr/>
      </xdr:nvSpPr>
      <xdr:spPr>
        <a:xfrm>
          <a:off x="0" y="0"/>
          <a:ext cx="1841776" cy="148780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D07698A1-AFEA-3BE4-ED2C-1806E65E65CE}"/>
            </a:ext>
          </a:extLst>
        </xdr:cNvPr>
        <xdr:cNvGrpSpPr/>
      </xdr:nvGrpSpPr>
      <xdr:grpSpPr>
        <a:xfrm>
          <a:off x="11239" y="653278"/>
          <a:ext cx="1704895" cy="452979"/>
          <a:chOff x="17891" y="510932"/>
          <a:chExt cx="1724265" cy="444500"/>
        </a:xfrm>
      </xdr:grpSpPr>
      <xdr:sp macro="" textlink="">
        <xdr:nvSpPr>
          <xdr:cNvPr id="134" name="Rectangle: Rounded Corners 133">
            <a:extLst>
              <a:ext uri="{FF2B5EF4-FFF2-40B4-BE49-F238E27FC236}">
                <a16:creationId xmlns:a16="http://schemas.microsoft.com/office/drawing/2014/main" id="{95DC15D3-6AA2-25DA-83A1-5B0658CA346E}"/>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C1CFDCFB-285D-11E3-301C-4ED2D970E1E7}"/>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B110AB5C-765E-472A-37BE-CEFFED95F92A}"/>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02B100F7-DF19-F021-E081-282E3FD0B3D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437424</xdr:rowOff>
    </xdr:to>
    <xdr:grpSp>
      <xdr:nvGrpSpPr>
        <xdr:cNvPr id="7" name="Group 6">
          <a:extLst>
            <a:ext uri="{FF2B5EF4-FFF2-40B4-BE49-F238E27FC236}">
              <a16:creationId xmlns:a16="http://schemas.microsoft.com/office/drawing/2014/main" id="{9BCE4F53-D80A-7D76-7150-130B6782632C}"/>
            </a:ext>
          </a:extLst>
        </xdr:cNvPr>
        <xdr:cNvGrpSpPr/>
      </xdr:nvGrpSpPr>
      <xdr:grpSpPr>
        <a:xfrm>
          <a:off x="10917" y="1129974"/>
          <a:ext cx="1704895" cy="448098"/>
          <a:chOff x="23753" y="989136"/>
          <a:chExt cx="1724265" cy="444500"/>
        </a:xfrm>
      </xdr:grpSpPr>
      <xdr:sp macro="" textlink="">
        <xdr:nvSpPr>
          <xdr:cNvPr id="131" name="Rectangle: Rounded Corners 130">
            <a:extLst>
              <a:ext uri="{FF2B5EF4-FFF2-40B4-BE49-F238E27FC236}">
                <a16:creationId xmlns:a16="http://schemas.microsoft.com/office/drawing/2014/main" id="{25B8FD61-045B-2B2D-21C3-14A09CCFE265}"/>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8A1F2602-293A-DB40-376B-636C15C2BBDE}"/>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9BB32D89-B11B-8BC7-D821-E86893ADA01F}"/>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6</xdr:row>
      <xdr:rowOff>46539</xdr:rowOff>
    </xdr:from>
    <xdr:to>
      <xdr:col>0</xdr:col>
      <xdr:colOff>1717958</xdr:colOff>
      <xdr:row>7</xdr:row>
      <xdr:rowOff>126051</xdr:rowOff>
    </xdr:to>
    <xdr:grpSp>
      <xdr:nvGrpSpPr>
        <xdr:cNvPr id="8" name="Group 7">
          <a:extLst>
            <a:ext uri="{FF2B5EF4-FFF2-40B4-BE49-F238E27FC236}">
              <a16:creationId xmlns:a16="http://schemas.microsoft.com/office/drawing/2014/main" id="{DF686C52-39FD-2772-06BC-5B23914D8DED}"/>
            </a:ext>
          </a:extLst>
        </xdr:cNvPr>
        <xdr:cNvGrpSpPr/>
      </xdr:nvGrpSpPr>
      <xdr:grpSpPr>
        <a:xfrm>
          <a:off x="13063" y="2110289"/>
          <a:ext cx="1704895" cy="449929"/>
          <a:chOff x="13593" y="1983238"/>
          <a:chExt cx="1722818" cy="443309"/>
        </a:xfrm>
      </xdr:grpSpPr>
      <xdr:sp macro="" textlink="">
        <xdr:nvSpPr>
          <xdr:cNvPr id="128" name="Rectangle: Rounded Corners 127">
            <a:extLst>
              <a:ext uri="{FF2B5EF4-FFF2-40B4-BE49-F238E27FC236}">
                <a16:creationId xmlns:a16="http://schemas.microsoft.com/office/drawing/2014/main" id="{75395F53-09E8-12DC-6DE9-03DB36A322F7}"/>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942AD992-71CC-2F11-2C31-DE0380CBE044}"/>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04A3353B-5DC9-2681-A78E-C43C510DA876}"/>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7</xdr:row>
      <xdr:rowOff>147702</xdr:rowOff>
    </xdr:from>
    <xdr:to>
      <xdr:col>0</xdr:col>
      <xdr:colOff>1715516</xdr:colOff>
      <xdr:row>8</xdr:row>
      <xdr:rowOff>225377</xdr:rowOff>
    </xdr:to>
    <xdr:grpSp>
      <xdr:nvGrpSpPr>
        <xdr:cNvPr id="9" name="Group 8">
          <a:extLst>
            <a:ext uri="{FF2B5EF4-FFF2-40B4-BE49-F238E27FC236}">
              <a16:creationId xmlns:a16="http://schemas.microsoft.com/office/drawing/2014/main" id="{1C334F3D-F0BC-0344-2625-5E9FB7D2F415}"/>
            </a:ext>
          </a:extLst>
        </xdr:cNvPr>
        <xdr:cNvGrpSpPr/>
      </xdr:nvGrpSpPr>
      <xdr:grpSpPr>
        <a:xfrm>
          <a:off x="12799" y="2581869"/>
          <a:ext cx="1702717" cy="448091"/>
          <a:chOff x="13317" y="2459028"/>
          <a:chExt cx="1720554" cy="441552"/>
        </a:xfrm>
      </xdr:grpSpPr>
      <xdr:sp macro="" textlink="">
        <xdr:nvSpPr>
          <xdr:cNvPr id="125" name="Rectangle: Rounded Corners 124">
            <a:extLst>
              <a:ext uri="{FF2B5EF4-FFF2-40B4-BE49-F238E27FC236}">
                <a16:creationId xmlns:a16="http://schemas.microsoft.com/office/drawing/2014/main" id="{03574E1B-EA66-B67E-0861-DE16D6131EF1}"/>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53913F83-4841-5E97-338E-95663AE025ED}"/>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3858CFE9-E610-77FE-F7E2-4CCC50AE9D98}"/>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8</xdr:row>
      <xdr:rowOff>239656</xdr:rowOff>
    </xdr:from>
    <xdr:to>
      <xdr:col>0</xdr:col>
      <xdr:colOff>1713076</xdr:colOff>
      <xdr:row>9</xdr:row>
      <xdr:rowOff>330202</xdr:rowOff>
    </xdr:to>
    <xdr:grpSp>
      <xdr:nvGrpSpPr>
        <xdr:cNvPr id="10" name="Group 9">
          <a:extLst>
            <a:ext uri="{FF2B5EF4-FFF2-40B4-BE49-F238E27FC236}">
              <a16:creationId xmlns:a16="http://schemas.microsoft.com/office/drawing/2014/main" id="{281CA9B0-B96A-D1E9-3929-DEFDCD6B43FC}"/>
            </a:ext>
          </a:extLst>
        </xdr:cNvPr>
        <xdr:cNvGrpSpPr/>
      </xdr:nvGrpSpPr>
      <xdr:grpSpPr>
        <a:xfrm>
          <a:off x="8181" y="3044239"/>
          <a:ext cx="1704895" cy="460963"/>
          <a:chOff x="8513" y="2976867"/>
          <a:chExt cx="1722818" cy="451725"/>
        </a:xfrm>
      </xdr:grpSpPr>
      <xdr:sp macro="" textlink="">
        <xdr:nvSpPr>
          <xdr:cNvPr id="121" name="Rectangle: Rounded Corners 120">
            <a:extLst>
              <a:ext uri="{FF2B5EF4-FFF2-40B4-BE49-F238E27FC236}">
                <a16:creationId xmlns:a16="http://schemas.microsoft.com/office/drawing/2014/main" id="{D380BB04-F06B-3532-680B-BCE0EDFEBFA9}"/>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C630E623-E6FB-A34C-5F3D-31A19605D1B9}"/>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19E5964C-997C-2871-BE60-3865366FCDFB}"/>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A3F60F16-458F-90BD-8B2E-D927FC6EC50D}"/>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459725</xdr:rowOff>
    </xdr:from>
    <xdr:to>
      <xdr:col>0</xdr:col>
      <xdr:colOff>1716667</xdr:colOff>
      <xdr:row>6</xdr:row>
      <xdr:rowOff>25914</xdr:rowOff>
    </xdr:to>
    <xdr:grpSp>
      <xdr:nvGrpSpPr>
        <xdr:cNvPr id="11" name="Group 10">
          <a:extLst>
            <a:ext uri="{FF2B5EF4-FFF2-40B4-BE49-F238E27FC236}">
              <a16:creationId xmlns:a16="http://schemas.microsoft.com/office/drawing/2014/main" id="{57E00C61-60C4-7CE2-F7E6-18D207A42BD7}"/>
            </a:ext>
          </a:extLst>
        </xdr:cNvPr>
        <xdr:cNvGrpSpPr/>
      </xdr:nvGrpSpPr>
      <xdr:grpSpPr>
        <a:xfrm>
          <a:off x="11772" y="1600373"/>
          <a:ext cx="1704895" cy="489291"/>
          <a:chOff x="21544" y="1467318"/>
          <a:chExt cx="1724265" cy="477164"/>
        </a:xfrm>
      </xdr:grpSpPr>
      <xdr:sp macro="" textlink="">
        <xdr:nvSpPr>
          <xdr:cNvPr id="118" name="Rectangle: Rounded Corners 117">
            <a:extLst>
              <a:ext uri="{FF2B5EF4-FFF2-40B4-BE49-F238E27FC236}">
                <a16:creationId xmlns:a16="http://schemas.microsoft.com/office/drawing/2014/main" id="{38E42A97-B2F1-D388-2AC7-F45E0485C69D}"/>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FDF299DD-9E08-615E-6EEA-46FBD9452D57}"/>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EDF2012E-CA5E-2EA6-D833-78DCEF8C9C34}"/>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9</xdr:row>
      <xdr:rowOff>343386</xdr:rowOff>
    </xdr:from>
    <xdr:to>
      <xdr:col>0</xdr:col>
      <xdr:colOff>1713094</xdr:colOff>
      <xdr:row>11</xdr:row>
      <xdr:rowOff>90305</xdr:rowOff>
    </xdr:to>
    <xdr:grpSp>
      <xdr:nvGrpSpPr>
        <xdr:cNvPr id="12" name="Group 11">
          <a:extLst>
            <a:ext uri="{FF2B5EF4-FFF2-40B4-BE49-F238E27FC236}">
              <a16:creationId xmlns:a16="http://schemas.microsoft.com/office/drawing/2014/main" id="{83D47042-9E13-2B3A-0A00-ACAF6C3BF756}"/>
            </a:ext>
          </a:extLst>
        </xdr:cNvPr>
        <xdr:cNvGrpSpPr/>
      </xdr:nvGrpSpPr>
      <xdr:grpSpPr>
        <a:xfrm>
          <a:off x="8199" y="3518386"/>
          <a:ext cx="1704895" cy="487752"/>
          <a:chOff x="8532" y="3456662"/>
          <a:chExt cx="1722818" cy="482122"/>
        </a:xfrm>
      </xdr:grpSpPr>
      <xdr:sp macro="" textlink="">
        <xdr:nvSpPr>
          <xdr:cNvPr id="114" name="Rectangle: Rounded Corners 113">
            <a:extLst>
              <a:ext uri="{FF2B5EF4-FFF2-40B4-BE49-F238E27FC236}">
                <a16:creationId xmlns:a16="http://schemas.microsoft.com/office/drawing/2014/main" id="{2B43526C-B11B-D667-5529-9AED4CEA1575}"/>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3F8DBFC2-2194-A5BE-9CA2-07FF7D239039}"/>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8BDEFD61-3114-5AE9-E605-7F48FBD8F264}"/>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C02E14D5-3B90-6822-D5D6-7CFFEAB8B896}"/>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11</xdr:row>
      <xdr:rowOff>103103</xdr:rowOff>
    </xdr:from>
    <xdr:to>
      <xdr:col>0</xdr:col>
      <xdr:colOff>1713246</xdr:colOff>
      <xdr:row>12</xdr:row>
      <xdr:rowOff>196610</xdr:rowOff>
    </xdr:to>
    <xdr:grpSp>
      <xdr:nvGrpSpPr>
        <xdr:cNvPr id="13" name="Group 12">
          <a:extLst>
            <a:ext uri="{FF2B5EF4-FFF2-40B4-BE49-F238E27FC236}">
              <a16:creationId xmlns:a16="http://schemas.microsoft.com/office/drawing/2014/main" id="{BFE06E1B-EEA2-364B-B49B-A472FA962516}"/>
            </a:ext>
          </a:extLst>
        </xdr:cNvPr>
        <xdr:cNvGrpSpPr/>
      </xdr:nvGrpSpPr>
      <xdr:grpSpPr>
        <a:xfrm>
          <a:off x="6077" y="4018936"/>
          <a:ext cx="1707169" cy="463924"/>
          <a:chOff x="6323" y="3964228"/>
          <a:chExt cx="1725184" cy="454551"/>
        </a:xfrm>
      </xdr:grpSpPr>
      <xdr:sp macro="" textlink="">
        <xdr:nvSpPr>
          <xdr:cNvPr id="110" name="Rectangle: Rounded Corners 109">
            <a:extLst>
              <a:ext uri="{FF2B5EF4-FFF2-40B4-BE49-F238E27FC236}">
                <a16:creationId xmlns:a16="http://schemas.microsoft.com/office/drawing/2014/main" id="{D8001F66-B656-98AA-794D-076DDADF76AD}"/>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2D590E0F-5924-E189-4746-CDCEDBA62025}"/>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E0483473-54FB-2F50-2509-35606FD6DE9C}"/>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2606D67D-DAA1-14BA-7FCF-F2AA4CEC4F44}"/>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12</xdr:row>
      <xdr:rowOff>213840</xdr:rowOff>
    </xdr:from>
    <xdr:to>
      <xdr:col>0</xdr:col>
      <xdr:colOff>1709917</xdr:colOff>
      <xdr:row>13</xdr:row>
      <xdr:rowOff>340158</xdr:rowOff>
    </xdr:to>
    <xdr:grpSp>
      <xdr:nvGrpSpPr>
        <xdr:cNvPr id="14" name="Group 13">
          <a:extLst>
            <a:ext uri="{FF2B5EF4-FFF2-40B4-BE49-F238E27FC236}">
              <a16:creationId xmlns:a16="http://schemas.microsoft.com/office/drawing/2014/main" id="{0FD96EF5-6A14-A11B-D6F9-38821FC6930C}"/>
            </a:ext>
          </a:extLst>
        </xdr:cNvPr>
        <xdr:cNvGrpSpPr/>
      </xdr:nvGrpSpPr>
      <xdr:grpSpPr>
        <a:xfrm>
          <a:off x="2748" y="4500090"/>
          <a:ext cx="1707169" cy="496735"/>
          <a:chOff x="2860" y="4442071"/>
          <a:chExt cx="1725184" cy="485874"/>
        </a:xfrm>
      </xdr:grpSpPr>
      <xdr:sp macro="" textlink="">
        <xdr:nvSpPr>
          <xdr:cNvPr id="106" name="Rectangle: Rounded Corners 105">
            <a:extLst>
              <a:ext uri="{FF2B5EF4-FFF2-40B4-BE49-F238E27FC236}">
                <a16:creationId xmlns:a16="http://schemas.microsoft.com/office/drawing/2014/main" id="{CCF01C8D-3C12-20BE-A0AF-D439D414AFC3}"/>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71EFEF1A-9754-7658-7A67-35EDC60C18C1}"/>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13F1F318-82FF-DF0F-6B0B-05927BCC1FBB}"/>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3B39C36F-BC1B-0169-6DFC-C84CEFB6E1E5}"/>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13</xdr:row>
      <xdr:rowOff>362497</xdr:rowOff>
    </xdr:from>
    <xdr:to>
      <xdr:col>0</xdr:col>
      <xdr:colOff>1709302</xdr:colOff>
      <xdr:row>15</xdr:row>
      <xdr:rowOff>82231</xdr:rowOff>
    </xdr:to>
    <xdr:grpSp>
      <xdr:nvGrpSpPr>
        <xdr:cNvPr id="15" name="Group 14">
          <a:extLst>
            <a:ext uri="{FF2B5EF4-FFF2-40B4-BE49-F238E27FC236}">
              <a16:creationId xmlns:a16="http://schemas.microsoft.com/office/drawing/2014/main" id="{FBBE82E6-B0E1-CC3F-F14B-A92762333E9A}"/>
            </a:ext>
          </a:extLst>
        </xdr:cNvPr>
        <xdr:cNvGrpSpPr/>
      </xdr:nvGrpSpPr>
      <xdr:grpSpPr>
        <a:xfrm>
          <a:off x="2133" y="5019164"/>
          <a:ext cx="1707169" cy="460567"/>
          <a:chOff x="2219" y="4949272"/>
          <a:chExt cx="1725184" cy="456170"/>
        </a:xfrm>
      </xdr:grpSpPr>
      <xdr:sp macro="" textlink="">
        <xdr:nvSpPr>
          <xdr:cNvPr id="102" name="Rectangle: Rounded Corners 101">
            <a:extLst>
              <a:ext uri="{FF2B5EF4-FFF2-40B4-BE49-F238E27FC236}">
                <a16:creationId xmlns:a16="http://schemas.microsoft.com/office/drawing/2014/main" id="{DB802158-8A1D-4526-E961-D8B1869089E1}"/>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CC238563-5B52-EBAE-23BE-19133E580977}"/>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81ECE175-BCAF-29BA-2CB0-BE6B8C443F8C}"/>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33B95D5B-2101-2B02-9519-A88C3E2C9CB7}"/>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15</xdr:row>
      <xdr:rowOff>101148</xdr:rowOff>
    </xdr:from>
    <xdr:to>
      <xdr:col>0</xdr:col>
      <xdr:colOff>1709298</xdr:colOff>
      <xdr:row>16</xdr:row>
      <xdr:rowOff>38044</xdr:rowOff>
    </xdr:to>
    <xdr:grpSp>
      <xdr:nvGrpSpPr>
        <xdr:cNvPr id="16" name="Group 15">
          <a:extLst>
            <a:ext uri="{FF2B5EF4-FFF2-40B4-BE49-F238E27FC236}">
              <a16:creationId xmlns:a16="http://schemas.microsoft.com/office/drawing/2014/main" id="{D14DA478-4899-AB8F-0C15-E75063AC7F15}"/>
            </a:ext>
          </a:extLst>
        </xdr:cNvPr>
        <xdr:cNvGrpSpPr/>
      </xdr:nvGrpSpPr>
      <xdr:grpSpPr>
        <a:xfrm>
          <a:off x="2129" y="5498648"/>
          <a:ext cx="1707169" cy="489581"/>
          <a:chOff x="2215" y="5434042"/>
          <a:chExt cx="1725184" cy="486597"/>
        </a:xfrm>
      </xdr:grpSpPr>
      <xdr:sp macro="" textlink="">
        <xdr:nvSpPr>
          <xdr:cNvPr id="98" name="Rectangle: Rounded Corners 97">
            <a:extLst>
              <a:ext uri="{FF2B5EF4-FFF2-40B4-BE49-F238E27FC236}">
                <a16:creationId xmlns:a16="http://schemas.microsoft.com/office/drawing/2014/main" id="{C0EA24E2-97D9-6FA7-8D25-8486FD1A38C6}"/>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2A71FB3D-5B5C-37D6-B53A-7E181D6246EF}"/>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4672D74F-4B11-70E1-19CB-C4D31AB44E75}"/>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20B2080E-8E59-5864-D907-EF5856DBCCA9}"/>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16</xdr:row>
      <xdr:rowOff>55899</xdr:rowOff>
    </xdr:from>
    <xdr:to>
      <xdr:col>0</xdr:col>
      <xdr:colOff>1709296</xdr:colOff>
      <xdr:row>17</xdr:row>
      <xdr:rowOff>182217</xdr:rowOff>
    </xdr:to>
    <xdr:grpSp>
      <xdr:nvGrpSpPr>
        <xdr:cNvPr id="17" name="Group 16">
          <a:extLst>
            <a:ext uri="{FF2B5EF4-FFF2-40B4-BE49-F238E27FC236}">
              <a16:creationId xmlns:a16="http://schemas.microsoft.com/office/drawing/2014/main" id="{196C2A51-EEDF-C7AF-E761-4168BE2C3A58}"/>
            </a:ext>
          </a:extLst>
        </xdr:cNvPr>
        <xdr:cNvGrpSpPr/>
      </xdr:nvGrpSpPr>
      <xdr:grpSpPr>
        <a:xfrm>
          <a:off x="2127" y="6006084"/>
          <a:ext cx="1707169" cy="496735"/>
          <a:chOff x="2213" y="5938772"/>
          <a:chExt cx="1725184" cy="485874"/>
        </a:xfrm>
      </xdr:grpSpPr>
      <xdr:sp macro="" textlink="">
        <xdr:nvSpPr>
          <xdr:cNvPr id="94" name="Rectangle: Rounded Corners 93">
            <a:extLst>
              <a:ext uri="{FF2B5EF4-FFF2-40B4-BE49-F238E27FC236}">
                <a16:creationId xmlns:a16="http://schemas.microsoft.com/office/drawing/2014/main" id="{81645862-C5EE-97AB-FD9D-D5A2710FB1E5}"/>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0A441BF0-73DA-3A70-7417-BC8F386EB42C}"/>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374D5FDC-65ED-2342-3E55-5C845EF3728E}"/>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110051A3-9B9F-9B15-67BC-6763391F69FC}"/>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17</xdr:row>
      <xdr:rowOff>202007</xdr:rowOff>
    </xdr:from>
    <xdr:to>
      <xdr:col>0</xdr:col>
      <xdr:colOff>1708011</xdr:colOff>
      <xdr:row>18</xdr:row>
      <xdr:rowOff>290831</xdr:rowOff>
    </xdr:to>
    <xdr:grpSp>
      <xdr:nvGrpSpPr>
        <xdr:cNvPr id="18" name="Group 17">
          <a:extLst>
            <a:ext uri="{FF2B5EF4-FFF2-40B4-BE49-F238E27FC236}">
              <a16:creationId xmlns:a16="http://schemas.microsoft.com/office/drawing/2014/main" id="{59BC437B-1944-4117-DD3A-452C221232FC}"/>
            </a:ext>
          </a:extLst>
        </xdr:cNvPr>
        <xdr:cNvGrpSpPr/>
      </xdr:nvGrpSpPr>
      <xdr:grpSpPr>
        <a:xfrm>
          <a:off x="842" y="6522609"/>
          <a:ext cx="1707169" cy="459241"/>
          <a:chOff x="876" y="6443539"/>
          <a:chExt cx="1725184" cy="456924"/>
        </a:xfrm>
      </xdr:grpSpPr>
      <xdr:sp macro="" textlink="">
        <xdr:nvSpPr>
          <xdr:cNvPr id="90" name="Rectangle: Rounded Corners 89">
            <a:extLst>
              <a:ext uri="{FF2B5EF4-FFF2-40B4-BE49-F238E27FC236}">
                <a16:creationId xmlns:a16="http://schemas.microsoft.com/office/drawing/2014/main" id="{447CB6AE-204D-B5BC-ACD0-72ED62711AB3}"/>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7BE9E9DE-3FCE-A4CA-0C6E-170B461A9B68}"/>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4D4731F5-87A7-90C0-62DA-4552DD823331}"/>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484D8548-732C-D356-35FD-8E177C14E04D}"/>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20</xdr:row>
      <xdr:rowOff>82193</xdr:rowOff>
    </xdr:from>
    <xdr:to>
      <xdr:col>0</xdr:col>
      <xdr:colOff>1708946</xdr:colOff>
      <xdr:row>20</xdr:row>
      <xdr:rowOff>547436</xdr:rowOff>
    </xdr:to>
    <xdr:grpSp>
      <xdr:nvGrpSpPr>
        <xdr:cNvPr id="19" name="Group 18">
          <a:extLst>
            <a:ext uri="{FF2B5EF4-FFF2-40B4-BE49-F238E27FC236}">
              <a16:creationId xmlns:a16="http://schemas.microsoft.com/office/drawing/2014/main" id="{16BECC97-CE8F-67EB-93C9-EF21740F603D}"/>
            </a:ext>
          </a:extLst>
        </xdr:cNvPr>
        <xdr:cNvGrpSpPr/>
      </xdr:nvGrpSpPr>
      <xdr:grpSpPr>
        <a:xfrm>
          <a:off x="1777" y="7514045"/>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5028EC1D-0DEF-C956-9B72-716DA4B6CE6C}"/>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D2F27392-9344-B4AB-2FE7-932CEADFE023}"/>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0CCB6E00-E468-A61A-AF1E-AA35AA131204}"/>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623559B6-3CD5-C5FA-7764-D9C095469F9E}"/>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21</xdr:row>
      <xdr:rowOff>22534</xdr:rowOff>
    </xdr:from>
    <xdr:to>
      <xdr:col>0</xdr:col>
      <xdr:colOff>1710873</xdr:colOff>
      <xdr:row>22</xdr:row>
      <xdr:rowOff>142679</xdr:rowOff>
    </xdr:to>
    <xdr:grpSp>
      <xdr:nvGrpSpPr>
        <xdr:cNvPr id="20" name="Group 19">
          <a:extLst>
            <a:ext uri="{FF2B5EF4-FFF2-40B4-BE49-F238E27FC236}">
              <a16:creationId xmlns:a16="http://schemas.microsoft.com/office/drawing/2014/main" id="{1E0CA1DB-D45B-16B0-BE61-1AA19BE9B6BD}"/>
            </a:ext>
          </a:extLst>
        </xdr:cNvPr>
        <xdr:cNvGrpSpPr/>
      </xdr:nvGrpSpPr>
      <xdr:grpSpPr>
        <a:xfrm>
          <a:off x="3704" y="8007071"/>
          <a:ext cx="1707169" cy="490562"/>
          <a:chOff x="3854" y="7898602"/>
          <a:chExt cx="1725184" cy="486825"/>
        </a:xfrm>
      </xdr:grpSpPr>
      <xdr:sp macro="" textlink="">
        <xdr:nvSpPr>
          <xdr:cNvPr id="82" name="Rectangle: Rounded Corners 81">
            <a:extLst>
              <a:ext uri="{FF2B5EF4-FFF2-40B4-BE49-F238E27FC236}">
                <a16:creationId xmlns:a16="http://schemas.microsoft.com/office/drawing/2014/main" id="{02CA1D47-4513-52D7-863E-CE7B9E1ADC7E}"/>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515F7BED-FC7A-A4D9-F31E-FBA25499F123}"/>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054C40ED-F0D8-899A-837C-E1F03C05CEB1}"/>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864CAC40-4588-758A-5A70-3C7CBCA4A0E7}"/>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22</xdr:row>
      <xdr:rowOff>166785</xdr:rowOff>
    </xdr:from>
    <xdr:to>
      <xdr:col>0</xdr:col>
      <xdr:colOff>1712157</xdr:colOff>
      <xdr:row>24</xdr:row>
      <xdr:rowOff>77067</xdr:rowOff>
    </xdr:to>
    <xdr:grpSp>
      <xdr:nvGrpSpPr>
        <xdr:cNvPr id="21" name="Group 20">
          <a:extLst>
            <a:ext uri="{FF2B5EF4-FFF2-40B4-BE49-F238E27FC236}">
              <a16:creationId xmlns:a16="http://schemas.microsoft.com/office/drawing/2014/main" id="{EAE64E48-EA2C-614D-C131-1F822F6FCA89}"/>
            </a:ext>
          </a:extLst>
        </xdr:cNvPr>
        <xdr:cNvGrpSpPr/>
      </xdr:nvGrpSpPr>
      <xdr:grpSpPr>
        <a:xfrm>
          <a:off x="4988" y="8521739"/>
          <a:ext cx="1707169" cy="462967"/>
          <a:chOff x="5190" y="8408439"/>
          <a:chExt cx="1725184" cy="455434"/>
        </a:xfrm>
      </xdr:grpSpPr>
      <xdr:sp macro="" textlink="">
        <xdr:nvSpPr>
          <xdr:cNvPr id="78" name="Rectangle: Rounded Corners 77">
            <a:extLst>
              <a:ext uri="{FF2B5EF4-FFF2-40B4-BE49-F238E27FC236}">
                <a16:creationId xmlns:a16="http://schemas.microsoft.com/office/drawing/2014/main" id="{2BB40A63-132D-C76C-FCA7-6656AB40FD89}"/>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E8B117EE-83A0-7D43-800B-782F05337BA9}"/>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ACB8C165-88B2-0EB2-2DDE-3B3B7E8B4D85}"/>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8E5CE424-8EEE-FAD2-2F9F-0A9900EA2DCE}"/>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24</xdr:row>
      <xdr:rowOff>89855</xdr:rowOff>
    </xdr:from>
    <xdr:to>
      <xdr:col>0</xdr:col>
      <xdr:colOff>1713207</xdr:colOff>
      <xdr:row>27</xdr:row>
      <xdr:rowOff>25282</xdr:rowOff>
    </xdr:to>
    <xdr:grpSp>
      <xdr:nvGrpSpPr>
        <xdr:cNvPr id="22" name="Group 21">
          <a:extLst>
            <a:ext uri="{FF2B5EF4-FFF2-40B4-BE49-F238E27FC236}">
              <a16:creationId xmlns:a16="http://schemas.microsoft.com/office/drawing/2014/main" id="{EA9F44BB-D7C0-1FCD-3708-E10ED7701F1C}"/>
            </a:ext>
          </a:extLst>
        </xdr:cNvPr>
        <xdr:cNvGrpSpPr/>
      </xdr:nvGrpSpPr>
      <xdr:grpSpPr>
        <a:xfrm>
          <a:off x="6038" y="8997494"/>
          <a:ext cx="1707169" cy="482232"/>
          <a:chOff x="6283" y="8882925"/>
          <a:chExt cx="1725184" cy="479438"/>
        </a:xfrm>
      </xdr:grpSpPr>
      <xdr:sp macro="" textlink="">
        <xdr:nvSpPr>
          <xdr:cNvPr id="74" name="Rectangle: Rounded Corners 73">
            <a:extLst>
              <a:ext uri="{FF2B5EF4-FFF2-40B4-BE49-F238E27FC236}">
                <a16:creationId xmlns:a16="http://schemas.microsoft.com/office/drawing/2014/main" id="{0EB74258-7787-647D-B8B6-733D72826C49}"/>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DC749966-61BA-7017-9C39-C7E5A74B6B0F}"/>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B563110A-4951-4DF4-D7C7-C5DEBF2070F6}"/>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1582C9E4-C410-A375-969A-7B3D9D731EFC}"/>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29</xdr:row>
      <xdr:rowOff>182190</xdr:rowOff>
    </xdr:from>
    <xdr:to>
      <xdr:col>0</xdr:col>
      <xdr:colOff>1711774</xdr:colOff>
      <xdr:row>32</xdr:row>
      <xdr:rowOff>96253</xdr:rowOff>
    </xdr:to>
    <xdr:grpSp>
      <xdr:nvGrpSpPr>
        <xdr:cNvPr id="23" name="Group 22">
          <a:extLst>
            <a:ext uri="{FF2B5EF4-FFF2-40B4-BE49-F238E27FC236}">
              <a16:creationId xmlns:a16="http://schemas.microsoft.com/office/drawing/2014/main" id="{C611CF83-39BF-3B4F-2923-F7C2753ED65D}"/>
            </a:ext>
          </a:extLst>
        </xdr:cNvPr>
        <xdr:cNvGrpSpPr/>
      </xdr:nvGrpSpPr>
      <xdr:grpSpPr>
        <a:xfrm>
          <a:off x="4605" y="10001171"/>
          <a:ext cx="1707169" cy="460869"/>
          <a:chOff x="4792" y="9884285"/>
          <a:chExt cx="1725184" cy="459044"/>
        </a:xfrm>
      </xdr:grpSpPr>
      <xdr:sp macro="" textlink="">
        <xdr:nvSpPr>
          <xdr:cNvPr id="70" name="Rectangle: Rounded Corners 69">
            <a:extLst>
              <a:ext uri="{FF2B5EF4-FFF2-40B4-BE49-F238E27FC236}">
                <a16:creationId xmlns:a16="http://schemas.microsoft.com/office/drawing/2014/main" id="{12ED4E9F-CE0F-03B0-3C44-FC46BDF72FCB}"/>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BC4E320A-1670-DCD2-6542-1BC26AF69A1E}"/>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4DBE210A-D1A8-02B7-5802-7E9E9AD4B614}"/>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F8D99B5F-D3B9-E2FD-35DB-B8283D3DDB61}"/>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27</xdr:row>
      <xdr:rowOff>43265</xdr:rowOff>
    </xdr:from>
    <xdr:to>
      <xdr:col>0</xdr:col>
      <xdr:colOff>1712537</xdr:colOff>
      <xdr:row>29</xdr:row>
      <xdr:rowOff>157911</xdr:rowOff>
    </xdr:to>
    <xdr:grpSp>
      <xdr:nvGrpSpPr>
        <xdr:cNvPr id="24" name="Group 23">
          <a:extLst>
            <a:ext uri="{FF2B5EF4-FFF2-40B4-BE49-F238E27FC236}">
              <a16:creationId xmlns:a16="http://schemas.microsoft.com/office/drawing/2014/main" id="{17D64677-7EEE-DDE1-6FA1-D0D12E6A6076}"/>
            </a:ext>
          </a:extLst>
        </xdr:cNvPr>
        <xdr:cNvGrpSpPr/>
      </xdr:nvGrpSpPr>
      <xdr:grpSpPr>
        <a:xfrm>
          <a:off x="5368" y="9497709"/>
          <a:ext cx="1707169" cy="479183"/>
          <a:chOff x="5586" y="9379532"/>
          <a:chExt cx="1725184" cy="481576"/>
        </a:xfrm>
      </xdr:grpSpPr>
      <xdr:sp macro="" textlink="">
        <xdr:nvSpPr>
          <xdr:cNvPr id="66" name="Rectangle: Rounded Corners 65">
            <a:extLst>
              <a:ext uri="{FF2B5EF4-FFF2-40B4-BE49-F238E27FC236}">
                <a16:creationId xmlns:a16="http://schemas.microsoft.com/office/drawing/2014/main" id="{AB10AB39-0664-75BF-C8C7-2BD440EA3EF6}"/>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B5793FD7-A15D-8843-46F5-C8A9F7FFCD3F}"/>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FC9190CF-D6EE-0523-27CF-F856988E77B6}"/>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B85AB166-9880-84E0-E3C4-549E4E4A525A}"/>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32</xdr:row>
      <xdr:rowOff>104652</xdr:rowOff>
    </xdr:from>
    <xdr:to>
      <xdr:col>0</xdr:col>
      <xdr:colOff>1711005</xdr:colOff>
      <xdr:row>35</xdr:row>
      <xdr:rowOff>47449</xdr:rowOff>
    </xdr:to>
    <xdr:grpSp>
      <xdr:nvGrpSpPr>
        <xdr:cNvPr id="25" name="Group 24">
          <a:extLst>
            <a:ext uri="{FF2B5EF4-FFF2-40B4-BE49-F238E27FC236}">
              <a16:creationId xmlns:a16="http://schemas.microsoft.com/office/drawing/2014/main" id="{19E92F84-3CC7-9DBA-3E46-14C855D17A46}"/>
            </a:ext>
          </a:extLst>
        </xdr:cNvPr>
        <xdr:cNvGrpSpPr/>
      </xdr:nvGrpSpPr>
      <xdr:grpSpPr>
        <a:xfrm>
          <a:off x="3836" y="10470439"/>
          <a:ext cx="1707169" cy="489603"/>
          <a:chOff x="3992" y="10358190"/>
          <a:chExt cx="1725184" cy="486476"/>
        </a:xfrm>
      </xdr:grpSpPr>
      <xdr:sp macro="" textlink="">
        <xdr:nvSpPr>
          <xdr:cNvPr id="62" name="Rectangle: Rounded Corners 61">
            <a:extLst>
              <a:ext uri="{FF2B5EF4-FFF2-40B4-BE49-F238E27FC236}">
                <a16:creationId xmlns:a16="http://schemas.microsoft.com/office/drawing/2014/main" id="{D03342EF-8357-F6EB-1443-9BBCE1C08D01}"/>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DB5C88C7-F0E2-E3E8-4F76-FC4E28356F1A}"/>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2F6364D9-CA15-C51A-6357-D1294AB0C998}"/>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EAABF516-5F23-9D70-6B7D-725938464556}"/>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35</xdr:row>
      <xdr:rowOff>64766</xdr:rowOff>
    </xdr:from>
    <xdr:to>
      <xdr:col>0</xdr:col>
      <xdr:colOff>1712668</xdr:colOff>
      <xdr:row>37</xdr:row>
      <xdr:rowOff>152044</xdr:rowOff>
    </xdr:to>
    <xdr:grpSp>
      <xdr:nvGrpSpPr>
        <xdr:cNvPr id="27" name="Group 26">
          <a:extLst>
            <a:ext uri="{FF2B5EF4-FFF2-40B4-BE49-F238E27FC236}">
              <a16:creationId xmlns:a16="http://schemas.microsoft.com/office/drawing/2014/main" id="{A6023201-E02C-576D-F3E2-CB6640759557}"/>
            </a:ext>
          </a:extLst>
        </xdr:cNvPr>
        <xdr:cNvGrpSpPr/>
      </xdr:nvGrpSpPr>
      <xdr:grpSpPr>
        <a:xfrm>
          <a:off x="5499" y="10977359"/>
          <a:ext cx="1707169" cy="451815"/>
          <a:chOff x="5723" y="10874564"/>
          <a:chExt cx="1725184" cy="455447"/>
        </a:xfrm>
      </xdr:grpSpPr>
      <xdr:sp macro="" textlink="">
        <xdr:nvSpPr>
          <xdr:cNvPr id="54" name="Rectangle: Rounded Corners 53">
            <a:extLst>
              <a:ext uri="{FF2B5EF4-FFF2-40B4-BE49-F238E27FC236}">
                <a16:creationId xmlns:a16="http://schemas.microsoft.com/office/drawing/2014/main" id="{7F6578E1-F95B-C2D2-FB5B-9B6A33708324}"/>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51269C54-63B0-BA45-F04A-FC4583C067B5}"/>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B6CB670D-2C7A-F978-05A7-5634FD40394E}"/>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48CAD867-F2BA-91E5-E147-C14E126C19F9}"/>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37</xdr:row>
      <xdr:rowOff>170882</xdr:rowOff>
    </xdr:from>
    <xdr:to>
      <xdr:col>0</xdr:col>
      <xdr:colOff>1711471</xdr:colOff>
      <xdr:row>40</xdr:row>
      <xdr:rowOff>106909</xdr:rowOff>
    </xdr:to>
    <xdr:grpSp>
      <xdr:nvGrpSpPr>
        <xdr:cNvPr id="28" name="Group 27">
          <a:extLst>
            <a:ext uri="{FF2B5EF4-FFF2-40B4-BE49-F238E27FC236}">
              <a16:creationId xmlns:a16="http://schemas.microsoft.com/office/drawing/2014/main" id="{7EEFE6C8-2B15-3093-BBAF-0739A5C8A462}"/>
            </a:ext>
          </a:extLst>
        </xdr:cNvPr>
        <xdr:cNvGrpSpPr/>
      </xdr:nvGrpSpPr>
      <xdr:grpSpPr>
        <a:xfrm>
          <a:off x="4302" y="11448012"/>
          <a:ext cx="1707169" cy="482832"/>
          <a:chOff x="4477" y="11347997"/>
          <a:chExt cx="1725184" cy="480012"/>
        </a:xfrm>
      </xdr:grpSpPr>
      <xdr:sp macro="" textlink="">
        <xdr:nvSpPr>
          <xdr:cNvPr id="50" name="Rectangle: Rounded Corners 49">
            <a:extLst>
              <a:ext uri="{FF2B5EF4-FFF2-40B4-BE49-F238E27FC236}">
                <a16:creationId xmlns:a16="http://schemas.microsoft.com/office/drawing/2014/main" id="{F4FC386E-4B6C-A209-D042-3175C7FB04DC}"/>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BE85E3B2-EB60-0351-5833-C287D9E35F51}"/>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0F8AA226-A8A0-5166-4997-E0FD958B54A6}"/>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91DF95CB-9995-214B-4E20-04CD95CA194A}"/>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18</xdr:row>
      <xdr:rowOff>309897</xdr:rowOff>
    </xdr:from>
    <xdr:to>
      <xdr:col>0</xdr:col>
      <xdr:colOff>1707169</xdr:colOff>
      <xdr:row>20</xdr:row>
      <xdr:rowOff>58716</xdr:rowOff>
    </xdr:to>
    <xdr:grpSp>
      <xdr:nvGrpSpPr>
        <xdr:cNvPr id="29" name="Group 28">
          <a:extLst>
            <a:ext uri="{FF2B5EF4-FFF2-40B4-BE49-F238E27FC236}">
              <a16:creationId xmlns:a16="http://schemas.microsoft.com/office/drawing/2014/main" id="{AB17C32C-C28B-F851-20BC-BF1E88A7E377}"/>
            </a:ext>
          </a:extLst>
        </xdr:cNvPr>
        <xdr:cNvGrpSpPr/>
      </xdr:nvGrpSpPr>
      <xdr:grpSpPr>
        <a:xfrm>
          <a:off x="0" y="7000916"/>
          <a:ext cx="1707169" cy="489652"/>
          <a:chOff x="0" y="6922179"/>
          <a:chExt cx="1725184" cy="482848"/>
        </a:xfrm>
      </xdr:grpSpPr>
      <xdr:sp macro="" textlink="">
        <xdr:nvSpPr>
          <xdr:cNvPr id="46" name="Rectangle: Rounded Corners 45">
            <a:extLst>
              <a:ext uri="{FF2B5EF4-FFF2-40B4-BE49-F238E27FC236}">
                <a16:creationId xmlns:a16="http://schemas.microsoft.com/office/drawing/2014/main" id="{0331A808-ED0E-EEAC-FA5B-AD679CF26AC1}"/>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AF5FCE50-ADC5-9251-7BC4-1C448928BA1A}"/>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0B1E89C2-EB58-A1C7-1176-09D356C856C2}"/>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D5BD58F7-C85D-E595-DB20-B51E29676A34}"/>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40</xdr:row>
      <xdr:rowOff>119454</xdr:rowOff>
    </xdr:from>
    <xdr:to>
      <xdr:col>0</xdr:col>
      <xdr:colOff>1711953</xdr:colOff>
      <xdr:row>43</xdr:row>
      <xdr:rowOff>55481</xdr:rowOff>
    </xdr:to>
    <xdr:grpSp>
      <xdr:nvGrpSpPr>
        <xdr:cNvPr id="32" name="Group 31">
          <a:extLst>
            <a:ext uri="{FF2B5EF4-FFF2-40B4-BE49-F238E27FC236}">
              <a16:creationId xmlns:a16="http://schemas.microsoft.com/office/drawing/2014/main" id="{36D4A62D-67BE-12FA-0B7C-CD12CC99C232}"/>
            </a:ext>
          </a:extLst>
        </xdr:cNvPr>
        <xdr:cNvGrpSpPr/>
      </xdr:nvGrpSpPr>
      <xdr:grpSpPr>
        <a:xfrm>
          <a:off x="5742" y="11943389"/>
          <a:ext cx="1706211" cy="482833"/>
          <a:chOff x="4477" y="11347997"/>
          <a:chExt cx="1725184" cy="480012"/>
        </a:xfrm>
      </xdr:grpSpPr>
      <xdr:sp macro="" textlink="">
        <xdr:nvSpPr>
          <xdr:cNvPr id="38" name="Rectangle: Rounded Corners 37">
            <a:extLst>
              <a:ext uri="{FF2B5EF4-FFF2-40B4-BE49-F238E27FC236}">
                <a16:creationId xmlns:a16="http://schemas.microsoft.com/office/drawing/2014/main" id="{9E59E925-B9E2-281C-C048-B83D8007BC2C}"/>
              </a:ext>
            </a:extLst>
          </xdr:cNvPr>
          <xdr:cNvSpPr/>
        </xdr:nvSpPr>
        <xdr:spPr>
          <a:xfrm>
            <a:off x="4477" y="11354526"/>
            <a:ext cx="1709047" cy="473293"/>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48F21F08-67F0-C32C-179F-24C27CF890FB}"/>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40" name="Oval 39">
            <a:extLst>
              <a:ext uri="{FF2B5EF4-FFF2-40B4-BE49-F238E27FC236}">
                <a16:creationId xmlns:a16="http://schemas.microsoft.com/office/drawing/2014/main" id="{3F19F6F2-0C8A-6F65-1201-5C737E16EAED}"/>
              </a:ext>
            </a:extLst>
          </xdr:cNvPr>
          <xdr:cNvSpPr/>
        </xdr:nvSpPr>
        <xdr:spPr>
          <a:xfrm>
            <a:off x="99063" y="11436003"/>
            <a:ext cx="286142" cy="309498"/>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25A33C01-72FD-F9AA-DC4D-5EBF25D25CA2}"/>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E0BC1D85-CB1A-4D71-A87A-544494DFF114}"/>
            </a:ext>
          </a:extLst>
        </xdr:cNvPr>
        <xdr:cNvGrpSpPr/>
      </xdr:nvGrpSpPr>
      <xdr:grpSpPr>
        <a:xfrm>
          <a:off x="9501481" y="0"/>
          <a:ext cx="774288" cy="288693"/>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5A949E3F-D5FE-6822-1468-F5912B8B7B5A}"/>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FD4F9CFE-B477-88D4-2B1A-39FE73C0496D}"/>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43</xdr:row>
      <xdr:rowOff>83132</xdr:rowOff>
    </xdr:from>
    <xdr:to>
      <xdr:col>0</xdr:col>
      <xdr:colOff>1713549</xdr:colOff>
      <xdr:row>55</xdr:row>
      <xdr:rowOff>99439</xdr:rowOff>
    </xdr:to>
    <xdr:grpSp>
      <xdr:nvGrpSpPr>
        <xdr:cNvPr id="185" name="Group 184">
          <a:extLst>
            <a:ext uri="{FF2B5EF4-FFF2-40B4-BE49-F238E27FC236}">
              <a16:creationId xmlns:a16="http://schemas.microsoft.com/office/drawing/2014/main" id="{8E4E004F-0470-4B0B-BA83-7EB4E7FA0CB5}"/>
            </a:ext>
          </a:extLst>
        </xdr:cNvPr>
        <xdr:cNvGrpSpPr/>
      </xdr:nvGrpSpPr>
      <xdr:grpSpPr>
        <a:xfrm>
          <a:off x="0" y="12453873"/>
          <a:ext cx="1713549" cy="2203529"/>
          <a:chOff x="5137727" y="13144500"/>
          <a:chExt cx="1713549" cy="2252946"/>
        </a:xfrm>
      </xdr:grpSpPr>
      <xdr:grpSp>
        <xdr:nvGrpSpPr>
          <xdr:cNvPr id="186" name="Group 185">
            <a:extLst>
              <a:ext uri="{FF2B5EF4-FFF2-40B4-BE49-F238E27FC236}">
                <a16:creationId xmlns:a16="http://schemas.microsoft.com/office/drawing/2014/main" id="{64C41C78-F2F9-8896-2C55-6F2472A95E95}"/>
              </a:ext>
            </a:extLst>
          </xdr:cNvPr>
          <xdr:cNvGrpSpPr/>
        </xdr:nvGrpSpPr>
        <xdr:grpSpPr>
          <a:xfrm>
            <a:off x="5144107" y="13624532"/>
            <a:ext cx="1707169" cy="465099"/>
            <a:chOff x="3415" y="11846315"/>
            <a:chExt cx="1725184" cy="456487"/>
          </a:xfrm>
        </xdr:grpSpPr>
        <xdr:sp macro="" textlink="">
          <xdr:nvSpPr>
            <xdr:cNvPr id="203" name="Rectangle: Rounded Corners 202">
              <a:extLst>
                <a:ext uri="{FF2B5EF4-FFF2-40B4-BE49-F238E27FC236}">
                  <a16:creationId xmlns:a16="http://schemas.microsoft.com/office/drawing/2014/main" id="{724D1180-F881-A38E-C341-03FECD3EA904}"/>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4" name="TextBox 203">
              <a:hlinkClick xmlns:r="http://schemas.openxmlformats.org/officeDocument/2006/relationships" r:id="rId23"/>
              <a:extLst>
                <a:ext uri="{FF2B5EF4-FFF2-40B4-BE49-F238E27FC236}">
                  <a16:creationId xmlns:a16="http://schemas.microsoft.com/office/drawing/2014/main" id="{E64989D6-5612-2509-BD81-B9704606F14B}"/>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05" name="Oval 204">
              <a:extLst>
                <a:ext uri="{FF2B5EF4-FFF2-40B4-BE49-F238E27FC236}">
                  <a16:creationId xmlns:a16="http://schemas.microsoft.com/office/drawing/2014/main" id="{7C030F70-D48E-00B0-1049-86D1FA2D03D1}"/>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6" name="TextBox 205">
              <a:hlinkClick xmlns:r="http://schemas.openxmlformats.org/officeDocument/2006/relationships" r:id="rId31"/>
              <a:extLst>
                <a:ext uri="{FF2B5EF4-FFF2-40B4-BE49-F238E27FC236}">
                  <a16:creationId xmlns:a16="http://schemas.microsoft.com/office/drawing/2014/main" id="{0AA6C135-B910-9774-705B-8813D4EB894C}"/>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87" name="Group 186">
            <a:extLst>
              <a:ext uri="{FF2B5EF4-FFF2-40B4-BE49-F238E27FC236}">
                <a16:creationId xmlns:a16="http://schemas.microsoft.com/office/drawing/2014/main" id="{59FDE095-28F1-0841-B6F7-7B7BB8C7D2C0}"/>
              </a:ext>
            </a:extLst>
          </xdr:cNvPr>
          <xdr:cNvGrpSpPr/>
        </xdr:nvGrpSpPr>
        <xdr:grpSpPr>
          <a:xfrm>
            <a:off x="5141639" y="14111307"/>
            <a:ext cx="1707169" cy="494728"/>
            <a:chOff x="847" y="12324893"/>
            <a:chExt cx="1725184" cy="486884"/>
          </a:xfrm>
        </xdr:grpSpPr>
        <xdr:sp macro="" textlink="">
          <xdr:nvSpPr>
            <xdr:cNvPr id="199" name="Rectangle: Rounded Corners 198">
              <a:extLst>
                <a:ext uri="{FF2B5EF4-FFF2-40B4-BE49-F238E27FC236}">
                  <a16:creationId xmlns:a16="http://schemas.microsoft.com/office/drawing/2014/main" id="{03FAD4C6-2F24-27FD-C27D-86F93A6DB30B}"/>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0" name="TextBox 199">
              <a:hlinkClick xmlns:r="http://schemas.openxmlformats.org/officeDocument/2006/relationships" r:id="rId32"/>
              <a:extLst>
                <a:ext uri="{FF2B5EF4-FFF2-40B4-BE49-F238E27FC236}">
                  <a16:creationId xmlns:a16="http://schemas.microsoft.com/office/drawing/2014/main" id="{6CD174AE-A08A-7934-8CC9-57F4812EF9C6}"/>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01" name="Oval 200">
              <a:extLst>
                <a:ext uri="{FF2B5EF4-FFF2-40B4-BE49-F238E27FC236}">
                  <a16:creationId xmlns:a16="http://schemas.microsoft.com/office/drawing/2014/main" id="{8B778BAD-286F-DA98-7A92-DDA33807CB3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2" name="TextBox 201">
              <a:hlinkClick xmlns:r="http://schemas.openxmlformats.org/officeDocument/2006/relationships" r:id="rId32"/>
              <a:extLst>
                <a:ext uri="{FF2B5EF4-FFF2-40B4-BE49-F238E27FC236}">
                  <a16:creationId xmlns:a16="http://schemas.microsoft.com/office/drawing/2014/main" id="{CBE52A5D-A042-3915-96B9-03810EEAACD0}"/>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88" name="TextBox 187">
            <a:extLst>
              <a:ext uri="{FF2B5EF4-FFF2-40B4-BE49-F238E27FC236}">
                <a16:creationId xmlns:a16="http://schemas.microsoft.com/office/drawing/2014/main" id="{500F2FEE-2B82-4FFB-B0A3-167DB5A1E0E8}"/>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89" name="Group 188">
            <a:extLst>
              <a:ext uri="{FF2B5EF4-FFF2-40B4-BE49-F238E27FC236}">
                <a16:creationId xmlns:a16="http://schemas.microsoft.com/office/drawing/2014/main" id="{66049D7B-ADAE-EF3C-D2DD-683F91E23BBC}"/>
              </a:ext>
            </a:extLst>
          </xdr:cNvPr>
          <xdr:cNvGrpSpPr/>
        </xdr:nvGrpSpPr>
        <xdr:grpSpPr>
          <a:xfrm>
            <a:off x="5138008" y="14617043"/>
            <a:ext cx="1708983" cy="494290"/>
            <a:chOff x="847" y="12324893"/>
            <a:chExt cx="1725184" cy="486884"/>
          </a:xfrm>
        </xdr:grpSpPr>
        <xdr:sp macro="" textlink="">
          <xdr:nvSpPr>
            <xdr:cNvPr id="195" name="Rectangle: Rounded Corners 194">
              <a:extLst>
                <a:ext uri="{FF2B5EF4-FFF2-40B4-BE49-F238E27FC236}">
                  <a16:creationId xmlns:a16="http://schemas.microsoft.com/office/drawing/2014/main" id="{06DEDBBE-BBA8-DD66-8489-FE04314D4DF5}"/>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6" name="TextBox 195">
              <a:hlinkClick xmlns:r="http://schemas.openxmlformats.org/officeDocument/2006/relationships" r:id="rId33"/>
              <a:extLst>
                <a:ext uri="{FF2B5EF4-FFF2-40B4-BE49-F238E27FC236}">
                  <a16:creationId xmlns:a16="http://schemas.microsoft.com/office/drawing/2014/main" id="{D2D8F6F4-B1E6-92FC-B141-1F5F9E603628}"/>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97" name="Oval 196">
              <a:extLst>
                <a:ext uri="{FF2B5EF4-FFF2-40B4-BE49-F238E27FC236}">
                  <a16:creationId xmlns:a16="http://schemas.microsoft.com/office/drawing/2014/main" id="{68543FF3-BCEE-347B-2AA4-C9F765D9E503}"/>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8" name="TextBox 197">
              <a:hlinkClick xmlns:r="http://schemas.openxmlformats.org/officeDocument/2006/relationships" r:id="rId33"/>
              <a:extLst>
                <a:ext uri="{FF2B5EF4-FFF2-40B4-BE49-F238E27FC236}">
                  <a16:creationId xmlns:a16="http://schemas.microsoft.com/office/drawing/2014/main" id="{477931EA-0BA8-280A-3451-2F6B4AAEFEB4}"/>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90" name="Group 189">
            <a:extLst>
              <a:ext uri="{FF2B5EF4-FFF2-40B4-BE49-F238E27FC236}">
                <a16:creationId xmlns:a16="http://schemas.microsoft.com/office/drawing/2014/main" id="{5C78ADA5-3123-7D76-18B0-5AB3DAFA0108}"/>
              </a:ext>
            </a:extLst>
          </xdr:cNvPr>
          <xdr:cNvGrpSpPr/>
        </xdr:nvGrpSpPr>
        <xdr:grpSpPr>
          <a:xfrm>
            <a:off x="5137727" y="13144500"/>
            <a:ext cx="1707169" cy="464661"/>
            <a:chOff x="3415" y="11846315"/>
            <a:chExt cx="1725184" cy="456487"/>
          </a:xfrm>
        </xdr:grpSpPr>
        <xdr:sp macro="" textlink="">
          <xdr:nvSpPr>
            <xdr:cNvPr id="191" name="Rectangle: Rounded Corners 190">
              <a:hlinkClick xmlns:r="http://schemas.openxmlformats.org/officeDocument/2006/relationships" r:id="rId34"/>
              <a:extLst>
                <a:ext uri="{FF2B5EF4-FFF2-40B4-BE49-F238E27FC236}">
                  <a16:creationId xmlns:a16="http://schemas.microsoft.com/office/drawing/2014/main" id="{B76F258A-629D-CFC3-DE50-5A980F9CD99E}"/>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2" name="TextBox 191">
              <a:hlinkClick xmlns:r="http://schemas.openxmlformats.org/officeDocument/2006/relationships" r:id="rId34"/>
              <a:extLst>
                <a:ext uri="{FF2B5EF4-FFF2-40B4-BE49-F238E27FC236}">
                  <a16:creationId xmlns:a16="http://schemas.microsoft.com/office/drawing/2014/main" id="{8F5A8D68-C452-8EB5-4400-84E57BC9C7EA}"/>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93" name="Oval 192">
              <a:hlinkClick xmlns:r="http://schemas.openxmlformats.org/officeDocument/2006/relationships" r:id="rId34"/>
              <a:extLst>
                <a:ext uri="{FF2B5EF4-FFF2-40B4-BE49-F238E27FC236}">
                  <a16:creationId xmlns:a16="http://schemas.microsoft.com/office/drawing/2014/main" id="{5EAF53EC-0AAB-91A0-9638-A2C4CBC02BB8}"/>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4" name="TextBox 193">
              <a:hlinkClick xmlns:r="http://schemas.openxmlformats.org/officeDocument/2006/relationships" r:id="rId34"/>
              <a:extLst>
                <a:ext uri="{FF2B5EF4-FFF2-40B4-BE49-F238E27FC236}">
                  <a16:creationId xmlns:a16="http://schemas.microsoft.com/office/drawing/2014/main" id="{A5A2D570-0AC0-F1E5-8E44-8CE76BCE0CA2}"/>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71</xdr:row>
      <xdr:rowOff>107950</xdr:rowOff>
    </xdr:to>
    <xdr:sp macro="" textlink="">
      <xdr:nvSpPr>
        <xdr:cNvPr id="4" name="Rectangle: Rounded Corners 3">
          <a:extLst>
            <a:ext uri="{FF2B5EF4-FFF2-40B4-BE49-F238E27FC236}">
              <a16:creationId xmlns:a16="http://schemas.microsoft.com/office/drawing/2014/main" id="{DDF5B2FC-87F8-904C-2053-2CE767C5583E}"/>
            </a:ext>
          </a:extLst>
        </xdr:cNvPr>
        <xdr:cNvSpPr/>
      </xdr:nvSpPr>
      <xdr:spPr>
        <a:xfrm>
          <a:off x="0" y="0"/>
          <a:ext cx="1841776" cy="148717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C1C61493-7CCE-89F2-8CB2-8B96AFF2FC18}"/>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9E5F9838-B523-EF5A-65EE-14F83A54A8A6}"/>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1BC6E8A4-021E-DE89-B7FD-91A9B22B5F80}"/>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4222AB6E-A935-90BB-BB6E-5CCFF0F551B4}"/>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494F38AD-A4DC-5655-443B-6F0AABBBB92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5</xdr:row>
      <xdr:rowOff>69124</xdr:rowOff>
    </xdr:to>
    <xdr:grpSp>
      <xdr:nvGrpSpPr>
        <xdr:cNvPr id="7" name="Group 6">
          <a:extLst>
            <a:ext uri="{FF2B5EF4-FFF2-40B4-BE49-F238E27FC236}">
              <a16:creationId xmlns:a16="http://schemas.microsoft.com/office/drawing/2014/main" id="{ED255E20-C79C-6BBD-83F3-22FCA722A909}"/>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9CF7D688-CB5B-B18F-BAA3-4825CCBF9CEC}"/>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C33AA355-109A-15D5-9EE6-78DE05DA15A4}"/>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9D4CB560-0FCF-8854-F938-477D73B238C0}"/>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7</xdr:row>
      <xdr:rowOff>46539</xdr:rowOff>
    </xdr:from>
    <xdr:to>
      <xdr:col>0</xdr:col>
      <xdr:colOff>1717958</xdr:colOff>
      <xdr:row>8</xdr:row>
      <xdr:rowOff>310201</xdr:rowOff>
    </xdr:to>
    <xdr:grpSp>
      <xdr:nvGrpSpPr>
        <xdr:cNvPr id="8" name="Group 7">
          <a:extLst>
            <a:ext uri="{FF2B5EF4-FFF2-40B4-BE49-F238E27FC236}">
              <a16:creationId xmlns:a16="http://schemas.microsoft.com/office/drawing/2014/main" id="{244B3B33-956D-8F67-1A01-1D60DAFBB493}"/>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1EDFA4AD-D217-3C96-2691-750D719B5E33}"/>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A7C64E91-3617-A8E0-ECF9-6562F5C8FF99}"/>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35048F2C-7253-3E17-3FF5-0784567BF9DC}"/>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8</xdr:row>
      <xdr:rowOff>331852</xdr:rowOff>
    </xdr:from>
    <xdr:to>
      <xdr:col>0</xdr:col>
      <xdr:colOff>1715516</xdr:colOff>
      <xdr:row>10</xdr:row>
      <xdr:rowOff>41227</xdr:rowOff>
    </xdr:to>
    <xdr:grpSp>
      <xdr:nvGrpSpPr>
        <xdr:cNvPr id="9" name="Group 8">
          <a:extLst>
            <a:ext uri="{FF2B5EF4-FFF2-40B4-BE49-F238E27FC236}">
              <a16:creationId xmlns:a16="http://schemas.microsoft.com/office/drawing/2014/main" id="{DE88D985-745E-964D-4FB4-8087A3FBD10E}"/>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F6C1DAF4-F105-D668-5B6A-9ECDECCF3E7F}"/>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B482A198-F777-8C0C-9E33-7734A8CD419F}"/>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81593C40-A1A6-EA92-19A7-5DEDC1114DDC}"/>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10</xdr:row>
      <xdr:rowOff>55506</xdr:rowOff>
    </xdr:from>
    <xdr:to>
      <xdr:col>0</xdr:col>
      <xdr:colOff>1713076</xdr:colOff>
      <xdr:row>11</xdr:row>
      <xdr:rowOff>146052</xdr:rowOff>
    </xdr:to>
    <xdr:grpSp>
      <xdr:nvGrpSpPr>
        <xdr:cNvPr id="10" name="Group 9">
          <a:extLst>
            <a:ext uri="{FF2B5EF4-FFF2-40B4-BE49-F238E27FC236}">
              <a16:creationId xmlns:a16="http://schemas.microsoft.com/office/drawing/2014/main" id="{B738FECD-4A9E-EEBE-D407-85F04095EE59}"/>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9462E95A-74F3-4814-5E04-C0BAA76C61CE}"/>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3BC05717-2759-8FC0-9791-1408F4137BE5}"/>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9062DCBE-AB85-1444-69F5-3BAC5A5E4781}"/>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0F9699F3-A8C9-CBDD-83EA-FC005995D0A6}"/>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5</xdr:row>
      <xdr:rowOff>91425</xdr:rowOff>
    </xdr:from>
    <xdr:to>
      <xdr:col>0</xdr:col>
      <xdr:colOff>1716667</xdr:colOff>
      <xdr:row>7</xdr:row>
      <xdr:rowOff>25914</xdr:rowOff>
    </xdr:to>
    <xdr:grpSp>
      <xdr:nvGrpSpPr>
        <xdr:cNvPr id="11" name="Group 10">
          <a:extLst>
            <a:ext uri="{FF2B5EF4-FFF2-40B4-BE49-F238E27FC236}">
              <a16:creationId xmlns:a16="http://schemas.microsoft.com/office/drawing/2014/main" id="{E9FE1D83-E69B-338E-8436-B81C3A777EF3}"/>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73FD5A77-D96B-835E-E5F7-4ED1D0757D6B}"/>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A6E7E84E-ED16-5573-B836-7C687F2F03E8}"/>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B0B71F56-BFF4-343C-B1E1-FB2A1E1A4D5A}"/>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11</xdr:row>
      <xdr:rowOff>159236</xdr:rowOff>
    </xdr:from>
    <xdr:to>
      <xdr:col>0</xdr:col>
      <xdr:colOff>1713094</xdr:colOff>
      <xdr:row>13</xdr:row>
      <xdr:rowOff>90305</xdr:rowOff>
    </xdr:to>
    <xdr:grpSp>
      <xdr:nvGrpSpPr>
        <xdr:cNvPr id="12" name="Group 11">
          <a:extLst>
            <a:ext uri="{FF2B5EF4-FFF2-40B4-BE49-F238E27FC236}">
              <a16:creationId xmlns:a16="http://schemas.microsoft.com/office/drawing/2014/main" id="{CB4B98D6-35E2-4851-E6E6-8DEAA042838F}"/>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32B0E183-29B7-536D-7E66-59C8B18E93EA}"/>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CAC6A2CE-2D04-7833-91AF-F83B18A1629B}"/>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14D9B591-9B4F-C47E-5A0E-072D8D94A1F7}"/>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A9B0743D-E932-6150-4CAD-2F631A585EB3}"/>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13</xdr:row>
      <xdr:rowOff>103103</xdr:rowOff>
    </xdr:from>
    <xdr:to>
      <xdr:col>0</xdr:col>
      <xdr:colOff>1713246</xdr:colOff>
      <xdr:row>15</xdr:row>
      <xdr:rowOff>12460</xdr:rowOff>
    </xdr:to>
    <xdr:grpSp>
      <xdr:nvGrpSpPr>
        <xdr:cNvPr id="13" name="Group 12">
          <a:extLst>
            <a:ext uri="{FF2B5EF4-FFF2-40B4-BE49-F238E27FC236}">
              <a16:creationId xmlns:a16="http://schemas.microsoft.com/office/drawing/2014/main" id="{8A4F4D18-3A3E-35D3-4377-1D964A14788B}"/>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CD64DB1F-9A5A-4C72-1F59-6F1F80068999}"/>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43BFFCAB-8231-09E2-F4E0-9C66E6F9053B}"/>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ECE0D276-D292-13DC-F8BB-935E288D52F4}"/>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71BF4915-5962-5354-0333-610C191C5AFB}"/>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15</xdr:row>
      <xdr:rowOff>29690</xdr:rowOff>
    </xdr:from>
    <xdr:to>
      <xdr:col>0</xdr:col>
      <xdr:colOff>1709917</xdr:colOff>
      <xdr:row>17</xdr:row>
      <xdr:rowOff>156008</xdr:rowOff>
    </xdr:to>
    <xdr:grpSp>
      <xdr:nvGrpSpPr>
        <xdr:cNvPr id="14" name="Group 13">
          <a:extLst>
            <a:ext uri="{FF2B5EF4-FFF2-40B4-BE49-F238E27FC236}">
              <a16:creationId xmlns:a16="http://schemas.microsoft.com/office/drawing/2014/main" id="{FC08C4CD-4331-5C8F-CC05-F1112004E594}"/>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EB72D3D9-16C3-17D1-2166-3BF43323A923}"/>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1A278D4E-C51A-20A5-9300-34C6EBCDD9FD}"/>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F3AEB1EA-6A90-003A-D875-4B4D62332EB1}"/>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298B816A-D713-6D8A-D82D-4C33DFC2A858}"/>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17</xdr:row>
      <xdr:rowOff>178347</xdr:rowOff>
    </xdr:from>
    <xdr:to>
      <xdr:col>0</xdr:col>
      <xdr:colOff>1709302</xdr:colOff>
      <xdr:row>20</xdr:row>
      <xdr:rowOff>82231</xdr:rowOff>
    </xdr:to>
    <xdr:grpSp>
      <xdr:nvGrpSpPr>
        <xdr:cNvPr id="15" name="Group 14">
          <a:extLst>
            <a:ext uri="{FF2B5EF4-FFF2-40B4-BE49-F238E27FC236}">
              <a16:creationId xmlns:a16="http://schemas.microsoft.com/office/drawing/2014/main" id="{E03C9097-AF4A-50A5-9582-9430F8D1F6F2}"/>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C9F67F95-F0C0-3E03-2AC0-7D758EF2A630}"/>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F04A0CC1-1E38-6727-E85D-F696DCAD7779}"/>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2BABE519-3F98-0A18-88E5-D51C5412BA54}"/>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0634E104-38EE-887A-6C7D-43287E7612F4}"/>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20</xdr:row>
      <xdr:rowOff>101148</xdr:rowOff>
    </xdr:from>
    <xdr:to>
      <xdr:col>0</xdr:col>
      <xdr:colOff>1709298</xdr:colOff>
      <xdr:row>23</xdr:row>
      <xdr:rowOff>38044</xdr:rowOff>
    </xdr:to>
    <xdr:grpSp>
      <xdr:nvGrpSpPr>
        <xdr:cNvPr id="16" name="Group 15">
          <a:extLst>
            <a:ext uri="{FF2B5EF4-FFF2-40B4-BE49-F238E27FC236}">
              <a16:creationId xmlns:a16="http://schemas.microsoft.com/office/drawing/2014/main" id="{750F3EDE-1990-8785-FF2A-65A8AF481150}"/>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9D9DB05F-CDCC-125A-84FF-32ABA88F4BA7}"/>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F7418C20-4C75-E0E4-E434-7566145C49F3}"/>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305E6DA3-003B-3A86-68F5-BDA6F414A855}"/>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7AB95181-EBCA-91B7-DFA1-F0853DE72009}"/>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23</xdr:row>
      <xdr:rowOff>55899</xdr:rowOff>
    </xdr:from>
    <xdr:to>
      <xdr:col>0</xdr:col>
      <xdr:colOff>1709296</xdr:colOff>
      <xdr:row>25</xdr:row>
      <xdr:rowOff>182217</xdr:rowOff>
    </xdr:to>
    <xdr:grpSp>
      <xdr:nvGrpSpPr>
        <xdr:cNvPr id="17" name="Group 16">
          <a:extLst>
            <a:ext uri="{FF2B5EF4-FFF2-40B4-BE49-F238E27FC236}">
              <a16:creationId xmlns:a16="http://schemas.microsoft.com/office/drawing/2014/main" id="{DD8162D8-D290-AFC7-EE2C-00AEB71A7DB1}"/>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17E9F530-81AC-3798-E319-4E9034EB76D2}"/>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4AF7077E-C12D-C135-4E89-D0AE613F54F1}"/>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04746DD2-396D-72C9-A058-B3CEC8E3ADC1}"/>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484E6276-08A3-8800-F93D-F2E17AB1D891}"/>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26</xdr:row>
      <xdr:rowOff>17857</xdr:rowOff>
    </xdr:from>
    <xdr:to>
      <xdr:col>0</xdr:col>
      <xdr:colOff>1708011</xdr:colOff>
      <xdr:row>28</xdr:row>
      <xdr:rowOff>106681</xdr:rowOff>
    </xdr:to>
    <xdr:grpSp>
      <xdr:nvGrpSpPr>
        <xdr:cNvPr id="18" name="Group 17">
          <a:extLst>
            <a:ext uri="{FF2B5EF4-FFF2-40B4-BE49-F238E27FC236}">
              <a16:creationId xmlns:a16="http://schemas.microsoft.com/office/drawing/2014/main" id="{2DB006CC-0663-3C7A-0A9F-CFF824354F27}"/>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5812189B-9407-B590-C05C-CD23814B599E}"/>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C54A256A-E19F-AAAE-14DC-C888C0220DA7}"/>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9A7EE39B-3E93-F44B-251F-0AD3E4B23987}"/>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4E330C0B-62EB-5832-CA44-7CBC8583AED9}"/>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31</xdr:row>
      <xdr:rowOff>82193</xdr:rowOff>
    </xdr:from>
    <xdr:to>
      <xdr:col>0</xdr:col>
      <xdr:colOff>1708946</xdr:colOff>
      <xdr:row>33</xdr:row>
      <xdr:rowOff>179136</xdr:rowOff>
    </xdr:to>
    <xdr:grpSp>
      <xdr:nvGrpSpPr>
        <xdr:cNvPr id="19" name="Group 18">
          <a:extLst>
            <a:ext uri="{FF2B5EF4-FFF2-40B4-BE49-F238E27FC236}">
              <a16:creationId xmlns:a16="http://schemas.microsoft.com/office/drawing/2014/main" id="{5E8AA447-F207-6BEB-BFEF-49D4309C4B5B}"/>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EA06F706-E712-163D-54EC-5EE237C3F8E1}"/>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878970CA-45A0-9DA0-CCFB-E3E2E46A834D}"/>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8A52C89E-9166-04A1-CB60-A357FA6F177C}"/>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D87B1E75-D9A3-8947-B206-3BFB2BF66E95}"/>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34</xdr:row>
      <xdr:rowOff>22534</xdr:rowOff>
    </xdr:from>
    <xdr:to>
      <xdr:col>0</xdr:col>
      <xdr:colOff>1710873</xdr:colOff>
      <xdr:row>36</xdr:row>
      <xdr:rowOff>142679</xdr:rowOff>
    </xdr:to>
    <xdr:grpSp>
      <xdr:nvGrpSpPr>
        <xdr:cNvPr id="20" name="Group 19">
          <a:extLst>
            <a:ext uri="{FF2B5EF4-FFF2-40B4-BE49-F238E27FC236}">
              <a16:creationId xmlns:a16="http://schemas.microsoft.com/office/drawing/2014/main" id="{0A9231B2-BF2F-2018-7233-271A4D86CF3F}"/>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2CC6FC88-5DE0-0DEC-3B1A-170D94F57CF2}"/>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AF7CBC98-ABF5-2829-5667-DDC654CFB441}"/>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A0FA9627-10CA-2B4A-3C7D-53EA2B9B58CA}"/>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E5C86F09-D1EA-E50E-85D8-F68B258161D8}"/>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36</xdr:row>
      <xdr:rowOff>166785</xdr:rowOff>
    </xdr:from>
    <xdr:to>
      <xdr:col>0</xdr:col>
      <xdr:colOff>1712157</xdr:colOff>
      <xdr:row>39</xdr:row>
      <xdr:rowOff>77067</xdr:rowOff>
    </xdr:to>
    <xdr:grpSp>
      <xdr:nvGrpSpPr>
        <xdr:cNvPr id="21" name="Group 20">
          <a:extLst>
            <a:ext uri="{FF2B5EF4-FFF2-40B4-BE49-F238E27FC236}">
              <a16:creationId xmlns:a16="http://schemas.microsoft.com/office/drawing/2014/main" id="{911C62AA-5061-0105-56B9-ABB957825E55}"/>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F4062ECA-591C-3F2E-0EF2-F52104EED835}"/>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8D4AF0D4-1F3E-FC18-4162-3C39BFC58411}"/>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A96A428A-2DCC-B3D8-4341-F4B8F3A11826}"/>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155112B7-6CA6-D57D-3888-EBB3F11AA191}"/>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39</xdr:row>
      <xdr:rowOff>89855</xdr:rowOff>
    </xdr:from>
    <xdr:to>
      <xdr:col>0</xdr:col>
      <xdr:colOff>1713207</xdr:colOff>
      <xdr:row>42</xdr:row>
      <xdr:rowOff>25282</xdr:rowOff>
    </xdr:to>
    <xdr:grpSp>
      <xdr:nvGrpSpPr>
        <xdr:cNvPr id="22" name="Group 21">
          <a:extLst>
            <a:ext uri="{FF2B5EF4-FFF2-40B4-BE49-F238E27FC236}">
              <a16:creationId xmlns:a16="http://schemas.microsoft.com/office/drawing/2014/main" id="{3CFE2829-253D-BE1D-8289-8DB33C23B9EC}"/>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DABDF5FC-D4E2-BD91-89FA-D2FFB48B57E3}"/>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9B72D7BB-4E30-1757-B2A3-769402F4B17A}"/>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EF6D319B-3126-D8CA-72C2-56BA47C1F82F}"/>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223EDF97-C5E6-D1E2-A337-8755B1ABCE93}"/>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44</xdr:row>
      <xdr:rowOff>182190</xdr:rowOff>
    </xdr:from>
    <xdr:to>
      <xdr:col>0</xdr:col>
      <xdr:colOff>1711774</xdr:colOff>
      <xdr:row>47</xdr:row>
      <xdr:rowOff>96253</xdr:rowOff>
    </xdr:to>
    <xdr:grpSp>
      <xdr:nvGrpSpPr>
        <xdr:cNvPr id="23" name="Group 22">
          <a:extLst>
            <a:ext uri="{FF2B5EF4-FFF2-40B4-BE49-F238E27FC236}">
              <a16:creationId xmlns:a16="http://schemas.microsoft.com/office/drawing/2014/main" id="{40FB314C-9532-852D-7649-A81399DABB48}"/>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109F6AA9-85EC-04B1-453F-D96A7121A734}"/>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EEDD7B7D-904A-AB31-8519-723793EE022C}"/>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68E27AED-E710-6934-E30B-77A2AD942DA2}"/>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AD60BCA0-BE53-CA25-B847-861173A5F568}"/>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42</xdr:row>
      <xdr:rowOff>43265</xdr:rowOff>
    </xdr:from>
    <xdr:to>
      <xdr:col>0</xdr:col>
      <xdr:colOff>1712537</xdr:colOff>
      <xdr:row>44</xdr:row>
      <xdr:rowOff>157911</xdr:rowOff>
    </xdr:to>
    <xdr:grpSp>
      <xdr:nvGrpSpPr>
        <xdr:cNvPr id="24" name="Group 23">
          <a:extLst>
            <a:ext uri="{FF2B5EF4-FFF2-40B4-BE49-F238E27FC236}">
              <a16:creationId xmlns:a16="http://schemas.microsoft.com/office/drawing/2014/main" id="{81EC5DF4-981F-F3FE-2CDE-6AB371E39C4D}"/>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6B4F1355-D4A4-CEA4-59A3-A92DD0A6E879}"/>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8219E39F-37FE-C588-D3A7-117CFAF264C7}"/>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06368AC3-6023-358D-C8BB-5EA7B37AC629}"/>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5E275BD8-ED5C-739E-4BFB-D120262F07A1}"/>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47</xdr:row>
      <xdr:rowOff>104652</xdr:rowOff>
    </xdr:from>
    <xdr:to>
      <xdr:col>0</xdr:col>
      <xdr:colOff>1711005</xdr:colOff>
      <xdr:row>50</xdr:row>
      <xdr:rowOff>47449</xdr:rowOff>
    </xdr:to>
    <xdr:grpSp>
      <xdr:nvGrpSpPr>
        <xdr:cNvPr id="25" name="Group 24">
          <a:extLst>
            <a:ext uri="{FF2B5EF4-FFF2-40B4-BE49-F238E27FC236}">
              <a16:creationId xmlns:a16="http://schemas.microsoft.com/office/drawing/2014/main" id="{016A7EAD-2914-03A8-5AE5-F7A33A093D95}"/>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4212AF11-D27F-8E2D-66BA-4AF3A3957CB0}"/>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D0F33002-3B4D-190C-D375-8D8D84631060}"/>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64817F97-A5B3-5135-C706-2FA4089295E6}"/>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B66E3E51-B896-32A1-E3B3-307C8A4956C6}"/>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50</xdr:row>
      <xdr:rowOff>64766</xdr:rowOff>
    </xdr:from>
    <xdr:to>
      <xdr:col>0</xdr:col>
      <xdr:colOff>1712668</xdr:colOff>
      <xdr:row>52</xdr:row>
      <xdr:rowOff>152044</xdr:rowOff>
    </xdr:to>
    <xdr:grpSp>
      <xdr:nvGrpSpPr>
        <xdr:cNvPr id="27" name="Group 26">
          <a:extLst>
            <a:ext uri="{FF2B5EF4-FFF2-40B4-BE49-F238E27FC236}">
              <a16:creationId xmlns:a16="http://schemas.microsoft.com/office/drawing/2014/main" id="{ED1DB117-AAFE-9BCE-A182-0D63A02B9359}"/>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975595D6-AA9A-5249-78FB-39553B9623BD}"/>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6F1FDB7C-6A75-2D9C-9935-3B23AC8E432B}"/>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10F980CC-458E-CD52-01BD-34466D8516AD}"/>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21430EE9-E27A-D376-4683-7B4168EA7443}"/>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52</xdr:row>
      <xdr:rowOff>170882</xdr:rowOff>
    </xdr:from>
    <xdr:to>
      <xdr:col>0</xdr:col>
      <xdr:colOff>1711471</xdr:colOff>
      <xdr:row>55</xdr:row>
      <xdr:rowOff>106909</xdr:rowOff>
    </xdr:to>
    <xdr:grpSp>
      <xdr:nvGrpSpPr>
        <xdr:cNvPr id="28" name="Group 27">
          <a:extLst>
            <a:ext uri="{FF2B5EF4-FFF2-40B4-BE49-F238E27FC236}">
              <a16:creationId xmlns:a16="http://schemas.microsoft.com/office/drawing/2014/main" id="{16AE0E34-E898-6261-667F-30407B86BE97}"/>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AD1D1D6A-5D4F-545B-DF5B-0F5ACD08E87C}"/>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BDF6028D-B9D9-1ECE-34BD-CCE1FB80C2AE}"/>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9A4EF645-0592-8E2E-B776-1DFFE511A513}"/>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EBF6884B-E670-86E5-5122-D4B24763D61E}"/>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28</xdr:row>
      <xdr:rowOff>125747</xdr:rowOff>
    </xdr:from>
    <xdr:to>
      <xdr:col>0</xdr:col>
      <xdr:colOff>1707169</xdr:colOff>
      <xdr:row>31</xdr:row>
      <xdr:rowOff>58716</xdr:rowOff>
    </xdr:to>
    <xdr:grpSp>
      <xdr:nvGrpSpPr>
        <xdr:cNvPr id="29" name="Group 28">
          <a:extLst>
            <a:ext uri="{FF2B5EF4-FFF2-40B4-BE49-F238E27FC236}">
              <a16:creationId xmlns:a16="http://schemas.microsoft.com/office/drawing/2014/main" id="{291A971D-F9CA-9D6F-CD3D-09E4C308A9D5}"/>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3A4E1179-AB95-E9B3-31FA-5B12526D23B7}"/>
              </a:ext>
            </a:extLst>
          </xdr:cNvPr>
          <xdr:cNvSpPr/>
        </xdr:nvSpPr>
        <xdr:spPr>
          <a:xfrm>
            <a:off x="0" y="6928737"/>
            <a:ext cx="1709047" cy="476100"/>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D251AB51-8136-57A7-D01E-00D55E08EE6B}"/>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48" name="Oval 47">
            <a:extLst>
              <a:ext uri="{FF2B5EF4-FFF2-40B4-BE49-F238E27FC236}">
                <a16:creationId xmlns:a16="http://schemas.microsoft.com/office/drawing/2014/main" id="{4D8886C8-72EE-BC85-90C7-68008CBAA8B9}"/>
              </a:ext>
            </a:extLst>
          </xdr:cNvPr>
          <xdr:cNvSpPr/>
        </xdr:nvSpPr>
        <xdr:spPr>
          <a:xfrm>
            <a:off x="94586" y="7010574"/>
            <a:ext cx="286142" cy="310857"/>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088058DD-5E9C-F08A-DD8F-1A5C1E9ACB5E}"/>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bg1"/>
                </a:solidFill>
              </a:rPr>
              <a:t>CLASS</a:t>
            </a:r>
          </a:p>
        </xdr:txBody>
      </xdr:sp>
    </xdr:grpSp>
    <xdr:clientData/>
  </xdr:twoCellAnchor>
  <xdr:twoCellAnchor>
    <xdr:from>
      <xdr:col>0</xdr:col>
      <xdr:colOff>5742</xdr:colOff>
      <xdr:row>55</xdr:row>
      <xdr:rowOff>119454</xdr:rowOff>
    </xdr:from>
    <xdr:to>
      <xdr:col>0</xdr:col>
      <xdr:colOff>1711953</xdr:colOff>
      <xdr:row>58</xdr:row>
      <xdr:rowOff>55481</xdr:rowOff>
    </xdr:to>
    <xdr:grpSp>
      <xdr:nvGrpSpPr>
        <xdr:cNvPr id="32" name="Group 31">
          <a:extLst>
            <a:ext uri="{FF2B5EF4-FFF2-40B4-BE49-F238E27FC236}">
              <a16:creationId xmlns:a16="http://schemas.microsoft.com/office/drawing/2014/main" id="{4D8E92CC-E1D3-4DE1-62BF-57BB794B5C95}"/>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089BB20E-598C-2484-8A65-E38080635122}"/>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109944ED-CC94-B7D7-99C4-A14462CB4E65}"/>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0ABB0ADF-C8E8-BABC-03A8-CCB09721205C}"/>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A8BA78BE-515A-BA53-4C36-FA42754C28B8}"/>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D96A0EC0-1A18-4F74-9EEB-E8DDA02F714F}"/>
            </a:ext>
          </a:extLst>
        </xdr:cNvPr>
        <xdr:cNvGrpSpPr/>
      </xdr:nvGrpSpPr>
      <xdr:grpSpPr>
        <a:xfrm>
          <a:off x="1043305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D7D7ED13-BD41-B453-BF6B-DC4C8D0C4272}"/>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880F7B95-AF92-E680-EC0E-2436573F921E}"/>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58</xdr:row>
      <xdr:rowOff>82550</xdr:rowOff>
    </xdr:from>
    <xdr:to>
      <xdr:col>0</xdr:col>
      <xdr:colOff>1713549</xdr:colOff>
      <xdr:row>70</xdr:row>
      <xdr:rowOff>98857</xdr:rowOff>
    </xdr:to>
    <xdr:grpSp>
      <xdr:nvGrpSpPr>
        <xdr:cNvPr id="163" name="Group 162">
          <a:extLst>
            <a:ext uri="{FF2B5EF4-FFF2-40B4-BE49-F238E27FC236}">
              <a16:creationId xmlns:a16="http://schemas.microsoft.com/office/drawing/2014/main" id="{8BC6A273-7BAB-4473-8A78-63D30B89659D}"/>
            </a:ext>
          </a:extLst>
        </xdr:cNvPr>
        <xdr:cNvGrpSpPr/>
      </xdr:nvGrpSpPr>
      <xdr:grpSpPr>
        <a:xfrm>
          <a:off x="0" y="12452350"/>
          <a:ext cx="1713549" cy="2226107"/>
          <a:chOff x="5137727" y="13144500"/>
          <a:chExt cx="1713549" cy="2252946"/>
        </a:xfrm>
      </xdr:grpSpPr>
      <xdr:grpSp>
        <xdr:nvGrpSpPr>
          <xdr:cNvPr id="164" name="Group 163">
            <a:extLst>
              <a:ext uri="{FF2B5EF4-FFF2-40B4-BE49-F238E27FC236}">
                <a16:creationId xmlns:a16="http://schemas.microsoft.com/office/drawing/2014/main" id="{80441C43-B436-2EE7-5A25-5DA7E6164E89}"/>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F3D86EB0-B4B6-F29D-30A1-9033FF1DD9BF}"/>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244634DF-0AAB-E2C2-E924-240FA830E6B7}"/>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AA7C0821-C804-2AF0-3AF4-40C33BBEEE88}"/>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94E4CDCE-A707-9C96-4A7B-E0E0E13DB9BD}"/>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0126CA25-A90B-0F43-28CF-8BF8A8BFBC84}"/>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2600439C-5278-8989-4137-48F05913CF4A}"/>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5964B00F-3881-046E-2E92-67457DA0DF16}"/>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32A2900B-9BBA-6F30-5411-3CAC940B7E5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44A83654-005A-D65B-CC87-84D9CAF38211}"/>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DEFB2019-8FE6-7FD3-1B53-F1B93B5383D4}"/>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AA921971-6C59-94F6-B15D-45BF4A87E555}"/>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BBA4588A-EF61-11AC-BCB4-6F26C67E4966}"/>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F1ABEBFC-B013-CD9F-1EBE-D5A85F4A9177}"/>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CD6A8C6B-3748-DF27-73C8-981C01ECFECA}"/>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5F8A1B29-AC0C-B05D-2656-F87BF866CC5B}"/>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B53407A5-8909-34C4-BDB9-F66549D26C42}"/>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AA5C05BF-B419-E59F-3EC0-98F535EF065A}"/>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6739D31B-C034-6721-ABF3-B0BF1F38FA2B}"/>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DAB5843E-35DC-85D3-FDAA-AE494F617E82}"/>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8A77F9F2-26A6-68B9-5193-8890F2BAF554}"/>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65</xdr:row>
      <xdr:rowOff>82550</xdr:rowOff>
    </xdr:to>
    <xdr:sp macro="" textlink="">
      <xdr:nvSpPr>
        <xdr:cNvPr id="4" name="Rectangle: Rounded Corners 3">
          <a:extLst>
            <a:ext uri="{FF2B5EF4-FFF2-40B4-BE49-F238E27FC236}">
              <a16:creationId xmlns:a16="http://schemas.microsoft.com/office/drawing/2014/main" id="{A89F0C4F-B572-D18B-F501-866FDFFB9F45}"/>
            </a:ext>
          </a:extLst>
        </xdr:cNvPr>
        <xdr:cNvSpPr/>
      </xdr:nvSpPr>
      <xdr:spPr>
        <a:xfrm>
          <a:off x="0" y="0"/>
          <a:ext cx="1841776" cy="148463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6BCD0118-2D5B-B0AB-0CBE-C60EF39DAC58}"/>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934A75F3-C5FE-644D-BE66-82BB25E9E7FD}"/>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9F46CC62-D2F4-7600-D24A-47A042BF3307}"/>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3E4D53B9-7DBA-1FDC-11BF-B1FD7E12963A}"/>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1C9B806A-1F69-5020-9C4D-886257D88A1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616C940A-434B-77DE-29D8-3C2A369A61B7}"/>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3EA3C91F-4A40-F94D-E8C5-8A2CD4430AAC}"/>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40E716AE-2A3D-48F8-B601-5CC51B68118B}"/>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3DA89CA0-E1CF-D7B4-8ABF-DC1C415E7D36}"/>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230689</xdr:rowOff>
    </xdr:from>
    <xdr:to>
      <xdr:col>0</xdr:col>
      <xdr:colOff>1717958</xdr:colOff>
      <xdr:row>5</xdr:row>
      <xdr:rowOff>678501</xdr:rowOff>
    </xdr:to>
    <xdr:grpSp>
      <xdr:nvGrpSpPr>
        <xdr:cNvPr id="8" name="Group 7">
          <a:extLst>
            <a:ext uri="{FF2B5EF4-FFF2-40B4-BE49-F238E27FC236}">
              <a16:creationId xmlns:a16="http://schemas.microsoft.com/office/drawing/2014/main" id="{28ECB5F8-0766-9B66-0064-A07127D9B481}"/>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31462D5A-B308-0EB1-CB8D-7CA7BF864067}"/>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3D1CB9B4-F25B-D572-6C79-39438DBB1017}"/>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71F28EE0-C2D2-3DF5-59E1-8736B3CBD4CC}"/>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700152</xdr:rowOff>
    </xdr:from>
    <xdr:to>
      <xdr:col>0</xdr:col>
      <xdr:colOff>1715516</xdr:colOff>
      <xdr:row>7</xdr:row>
      <xdr:rowOff>41227</xdr:rowOff>
    </xdr:to>
    <xdr:grpSp>
      <xdr:nvGrpSpPr>
        <xdr:cNvPr id="9" name="Group 8">
          <a:extLst>
            <a:ext uri="{FF2B5EF4-FFF2-40B4-BE49-F238E27FC236}">
              <a16:creationId xmlns:a16="http://schemas.microsoft.com/office/drawing/2014/main" id="{D53FF921-57B7-7AEA-2CC9-42F18050CE6A}"/>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1A8C9C82-1458-914D-2034-8D8CEC8DA8CF}"/>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D4A3B0AF-5322-E29B-788B-B24458CA0E7F}"/>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595A221C-15E6-9DA8-FCFD-A2784B1F8CB1}"/>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7</xdr:row>
      <xdr:rowOff>55506</xdr:rowOff>
    </xdr:from>
    <xdr:to>
      <xdr:col>0</xdr:col>
      <xdr:colOff>1713076</xdr:colOff>
      <xdr:row>7</xdr:row>
      <xdr:rowOff>514352</xdr:rowOff>
    </xdr:to>
    <xdr:grpSp>
      <xdr:nvGrpSpPr>
        <xdr:cNvPr id="10" name="Group 9">
          <a:extLst>
            <a:ext uri="{FF2B5EF4-FFF2-40B4-BE49-F238E27FC236}">
              <a16:creationId xmlns:a16="http://schemas.microsoft.com/office/drawing/2014/main" id="{6F00E29A-DAB5-8EBD-EAFA-BD5CF3D9B044}"/>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D8581CF6-502C-602A-9647-470D16AB07D1}"/>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6BD41272-45FD-C828-40A7-377C2DD17A8A}"/>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C9B1D22A-0751-353B-3DBE-4FC881CA7DC4}"/>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35B02D92-CB58-F8D3-A5BE-72E1D985DD08}"/>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210064</xdr:rowOff>
    </xdr:to>
    <xdr:grpSp>
      <xdr:nvGrpSpPr>
        <xdr:cNvPr id="11" name="Group 10">
          <a:extLst>
            <a:ext uri="{FF2B5EF4-FFF2-40B4-BE49-F238E27FC236}">
              <a16:creationId xmlns:a16="http://schemas.microsoft.com/office/drawing/2014/main" id="{8439E8E1-0FC0-A079-F5A2-7F6BB3AC2F8E}"/>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EC896665-8B47-9F97-57EB-FCF9191F3E86}"/>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D97497E4-B314-B602-6E12-7D300ED5B39E}"/>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EC2CEB31-E41A-C599-58F2-14726F0B59D3}"/>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527536</xdr:rowOff>
    </xdr:from>
    <xdr:to>
      <xdr:col>0</xdr:col>
      <xdr:colOff>1713094</xdr:colOff>
      <xdr:row>9</xdr:row>
      <xdr:rowOff>90305</xdr:rowOff>
    </xdr:to>
    <xdr:grpSp>
      <xdr:nvGrpSpPr>
        <xdr:cNvPr id="12" name="Group 11">
          <a:extLst>
            <a:ext uri="{FF2B5EF4-FFF2-40B4-BE49-F238E27FC236}">
              <a16:creationId xmlns:a16="http://schemas.microsoft.com/office/drawing/2014/main" id="{6B344B04-6EEB-D60B-4F97-9668A9D55256}"/>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D8633FA1-F604-73A2-6B7E-17D312F0337D}"/>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6CD4B645-9740-E2F5-6510-F987028037FA}"/>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19F428B6-04CB-807A-4164-AFB29FF5327B}"/>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CB69EF8B-D119-D4ED-0E39-BB0DE0E1ABAC}"/>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9</xdr:row>
      <xdr:rowOff>103103</xdr:rowOff>
    </xdr:from>
    <xdr:to>
      <xdr:col>0</xdr:col>
      <xdr:colOff>1713246</xdr:colOff>
      <xdr:row>10</xdr:row>
      <xdr:rowOff>196610</xdr:rowOff>
    </xdr:to>
    <xdr:grpSp>
      <xdr:nvGrpSpPr>
        <xdr:cNvPr id="13" name="Group 12">
          <a:extLst>
            <a:ext uri="{FF2B5EF4-FFF2-40B4-BE49-F238E27FC236}">
              <a16:creationId xmlns:a16="http://schemas.microsoft.com/office/drawing/2014/main" id="{904E9950-E393-E1A4-DFF6-786C2E1B553E}"/>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8E9BB525-63C7-BBBA-08C1-3E9D0619FBD7}"/>
              </a:ext>
            </a:extLst>
          </xdr:cNvPr>
          <xdr:cNvSpPr/>
        </xdr:nvSpPr>
        <xdr:spPr>
          <a:xfrm>
            <a:off x="6323" y="3970410"/>
            <a:ext cx="1709047" cy="448190"/>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6B163DF8-130F-5C9C-BC82-933269FDA843}"/>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112" name="Oval 111">
            <a:extLst>
              <a:ext uri="{FF2B5EF4-FFF2-40B4-BE49-F238E27FC236}">
                <a16:creationId xmlns:a16="http://schemas.microsoft.com/office/drawing/2014/main" id="{F4E3D624-A4D6-E76E-6BE3-5B596BEB0C43}"/>
              </a:ext>
            </a:extLst>
          </xdr:cNvPr>
          <xdr:cNvSpPr/>
        </xdr:nvSpPr>
        <xdr:spPr>
          <a:xfrm>
            <a:off x="100909" y="4047552"/>
            <a:ext cx="286142" cy="293109"/>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A17DB660-DD9A-7A71-9B31-B2CF61EAD30A}"/>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NADOPOD</a:t>
            </a:r>
          </a:p>
        </xdr:txBody>
      </xdr:sp>
    </xdr:grpSp>
    <xdr:clientData/>
  </xdr:twoCellAnchor>
  <xdr:twoCellAnchor>
    <xdr:from>
      <xdr:col>0</xdr:col>
      <xdr:colOff>2748</xdr:colOff>
      <xdr:row>10</xdr:row>
      <xdr:rowOff>213840</xdr:rowOff>
    </xdr:from>
    <xdr:to>
      <xdr:col>0</xdr:col>
      <xdr:colOff>1709917</xdr:colOff>
      <xdr:row>11</xdr:row>
      <xdr:rowOff>156008</xdr:rowOff>
    </xdr:to>
    <xdr:grpSp>
      <xdr:nvGrpSpPr>
        <xdr:cNvPr id="14" name="Group 13">
          <a:extLst>
            <a:ext uri="{FF2B5EF4-FFF2-40B4-BE49-F238E27FC236}">
              <a16:creationId xmlns:a16="http://schemas.microsoft.com/office/drawing/2014/main" id="{4A3F8461-EBD9-7EB9-F6D1-3918B0AAB3BA}"/>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4B04DED5-626D-D40A-25DB-99C1F313CC84}"/>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19FB234D-2D68-BF5F-8F76-75898CD9E6F1}"/>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FAF25819-10A9-E707-589C-E84F9F001E78}"/>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7F10C209-62E1-EE0B-15AE-DAC9472D5A39}"/>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11</xdr:row>
      <xdr:rowOff>178347</xdr:rowOff>
    </xdr:from>
    <xdr:to>
      <xdr:col>0</xdr:col>
      <xdr:colOff>1709302</xdr:colOff>
      <xdr:row>14</xdr:row>
      <xdr:rowOff>82231</xdr:rowOff>
    </xdr:to>
    <xdr:grpSp>
      <xdr:nvGrpSpPr>
        <xdr:cNvPr id="15" name="Group 14">
          <a:extLst>
            <a:ext uri="{FF2B5EF4-FFF2-40B4-BE49-F238E27FC236}">
              <a16:creationId xmlns:a16="http://schemas.microsoft.com/office/drawing/2014/main" id="{81564AD6-43F6-7ADD-4051-D79F53BA3F2D}"/>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AC062DEB-86BF-BFE2-E2D7-20730ECDD5F4}"/>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2DE3655B-5671-36BD-4093-0EEBC27E005E}"/>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74C662DC-8F3E-02AE-058B-CB66DA3AF09B}"/>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57B43E75-A1C1-22B4-36E4-8BC35B6E77AC}"/>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14</xdr:row>
      <xdr:rowOff>101148</xdr:rowOff>
    </xdr:from>
    <xdr:to>
      <xdr:col>0</xdr:col>
      <xdr:colOff>1709298</xdr:colOff>
      <xdr:row>17</xdr:row>
      <xdr:rowOff>38044</xdr:rowOff>
    </xdr:to>
    <xdr:grpSp>
      <xdr:nvGrpSpPr>
        <xdr:cNvPr id="16" name="Group 15">
          <a:extLst>
            <a:ext uri="{FF2B5EF4-FFF2-40B4-BE49-F238E27FC236}">
              <a16:creationId xmlns:a16="http://schemas.microsoft.com/office/drawing/2014/main" id="{71BE3A78-6BA3-BD67-4C5C-67A576ED7EBB}"/>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F0180996-7BA3-F129-DA54-E58AE0C825C0}"/>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6C191F7E-706E-B5C7-9F04-645996EC98CB}"/>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7EEF24C4-67C6-95E9-B732-0F1EFE26327E}"/>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1B454BFB-8C75-05AF-3A29-DA1BEC4D8A40}"/>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17</xdr:row>
      <xdr:rowOff>55899</xdr:rowOff>
    </xdr:from>
    <xdr:to>
      <xdr:col>0</xdr:col>
      <xdr:colOff>1709296</xdr:colOff>
      <xdr:row>19</xdr:row>
      <xdr:rowOff>182217</xdr:rowOff>
    </xdr:to>
    <xdr:grpSp>
      <xdr:nvGrpSpPr>
        <xdr:cNvPr id="17" name="Group 16">
          <a:extLst>
            <a:ext uri="{FF2B5EF4-FFF2-40B4-BE49-F238E27FC236}">
              <a16:creationId xmlns:a16="http://schemas.microsoft.com/office/drawing/2014/main" id="{1C8D5AC5-DA69-12E8-AC8A-919042240183}"/>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CD33F958-265B-8777-2A9B-43CC36E7CC0A}"/>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33739831-7089-6154-CE1E-311DFEA5D0A6}"/>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712E989B-EAC6-F42E-8729-05F88764D656}"/>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DEEA174C-4C5E-4B06-35A1-04D66A545958}"/>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20</xdr:row>
      <xdr:rowOff>17857</xdr:rowOff>
    </xdr:from>
    <xdr:to>
      <xdr:col>0</xdr:col>
      <xdr:colOff>1708011</xdr:colOff>
      <xdr:row>22</xdr:row>
      <xdr:rowOff>106681</xdr:rowOff>
    </xdr:to>
    <xdr:grpSp>
      <xdr:nvGrpSpPr>
        <xdr:cNvPr id="18" name="Group 17">
          <a:extLst>
            <a:ext uri="{FF2B5EF4-FFF2-40B4-BE49-F238E27FC236}">
              <a16:creationId xmlns:a16="http://schemas.microsoft.com/office/drawing/2014/main" id="{BAF9B671-8582-C614-79A3-27703848665D}"/>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0FEFBFEF-134E-85BF-450E-75C7C79237A2}"/>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0E949B4C-EC37-FF48-B599-6EB134968D60}"/>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3190DBF2-E99B-BC29-727A-FAD285D34AEB}"/>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73577B3C-14AD-3BD4-9BBE-200BC63A8152}"/>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25</xdr:row>
      <xdr:rowOff>82193</xdr:rowOff>
    </xdr:from>
    <xdr:to>
      <xdr:col>0</xdr:col>
      <xdr:colOff>1708946</xdr:colOff>
      <xdr:row>27</xdr:row>
      <xdr:rowOff>179136</xdr:rowOff>
    </xdr:to>
    <xdr:grpSp>
      <xdr:nvGrpSpPr>
        <xdr:cNvPr id="19" name="Group 18">
          <a:extLst>
            <a:ext uri="{FF2B5EF4-FFF2-40B4-BE49-F238E27FC236}">
              <a16:creationId xmlns:a16="http://schemas.microsoft.com/office/drawing/2014/main" id="{C5FBFA62-5791-BBFC-8345-C6639B992572}"/>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63CEEDC8-405D-3415-4A9F-BDC05C0B8016}"/>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2036AA0F-8A3B-DACC-0FC6-1975C4448E3C}"/>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1C793D11-2938-5171-9A03-3F55613D8FEE}"/>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E45EE99C-2BD5-1F98-77CB-6FAB712219E7}"/>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28</xdr:row>
      <xdr:rowOff>22534</xdr:rowOff>
    </xdr:from>
    <xdr:to>
      <xdr:col>0</xdr:col>
      <xdr:colOff>1710873</xdr:colOff>
      <xdr:row>30</xdr:row>
      <xdr:rowOff>142679</xdr:rowOff>
    </xdr:to>
    <xdr:grpSp>
      <xdr:nvGrpSpPr>
        <xdr:cNvPr id="20" name="Group 19">
          <a:extLst>
            <a:ext uri="{FF2B5EF4-FFF2-40B4-BE49-F238E27FC236}">
              <a16:creationId xmlns:a16="http://schemas.microsoft.com/office/drawing/2014/main" id="{C03E051C-3ADB-22FB-27D4-91243D714B24}"/>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0BF91A28-3F17-1404-5268-E1723E51FF75}"/>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36736CE5-485F-623E-FB97-D3DAEA065BBB}"/>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BC3E56EE-F993-A46C-C723-626234B004A2}"/>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1EF65F31-8123-D563-DC2D-0AEF3553EA56}"/>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30</xdr:row>
      <xdr:rowOff>166785</xdr:rowOff>
    </xdr:from>
    <xdr:to>
      <xdr:col>0</xdr:col>
      <xdr:colOff>1712157</xdr:colOff>
      <xdr:row>33</xdr:row>
      <xdr:rowOff>77067</xdr:rowOff>
    </xdr:to>
    <xdr:grpSp>
      <xdr:nvGrpSpPr>
        <xdr:cNvPr id="21" name="Group 20">
          <a:extLst>
            <a:ext uri="{FF2B5EF4-FFF2-40B4-BE49-F238E27FC236}">
              <a16:creationId xmlns:a16="http://schemas.microsoft.com/office/drawing/2014/main" id="{2249464C-4F8A-80B2-BBBB-DA56FF39B3DA}"/>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F7DD033C-4C97-4644-B455-99FE7062C9BE}"/>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35961D20-71B8-5B31-B9E1-6A923CB1592B}"/>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376F2703-E3C9-4F63-A328-0F32F147F245}"/>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875958C5-DA2E-C681-1FBC-2A745E3FA861}"/>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33</xdr:row>
      <xdr:rowOff>89855</xdr:rowOff>
    </xdr:from>
    <xdr:to>
      <xdr:col>0</xdr:col>
      <xdr:colOff>1713207</xdr:colOff>
      <xdr:row>36</xdr:row>
      <xdr:rowOff>25282</xdr:rowOff>
    </xdr:to>
    <xdr:grpSp>
      <xdr:nvGrpSpPr>
        <xdr:cNvPr id="22" name="Group 21">
          <a:extLst>
            <a:ext uri="{FF2B5EF4-FFF2-40B4-BE49-F238E27FC236}">
              <a16:creationId xmlns:a16="http://schemas.microsoft.com/office/drawing/2014/main" id="{AFC88E73-597F-EE19-B7BF-C49B11F34440}"/>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50F98CDB-C74F-EE81-2C20-BCDB75A6E037}"/>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762285AE-06DE-E932-C9D5-BBF69D6119D7}"/>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50559503-DC3D-7A99-596E-8A4291D12C9E}"/>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60C3DF78-F7B3-78C6-5EDD-2A19C13366F9}"/>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38</xdr:row>
      <xdr:rowOff>182190</xdr:rowOff>
    </xdr:from>
    <xdr:to>
      <xdr:col>0</xdr:col>
      <xdr:colOff>1711774</xdr:colOff>
      <xdr:row>41</xdr:row>
      <xdr:rowOff>96253</xdr:rowOff>
    </xdr:to>
    <xdr:grpSp>
      <xdr:nvGrpSpPr>
        <xdr:cNvPr id="23" name="Group 22">
          <a:extLst>
            <a:ext uri="{FF2B5EF4-FFF2-40B4-BE49-F238E27FC236}">
              <a16:creationId xmlns:a16="http://schemas.microsoft.com/office/drawing/2014/main" id="{4D04226B-19C1-6EFE-811A-F4926522B7F2}"/>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FDC3BAC0-F241-0588-3B6B-85026101FAE4}"/>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C59B31E7-B18E-9514-14A5-82E7E23051C0}"/>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4153F171-D2B8-C46D-D33F-B654CB0A5761}"/>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63A74CBF-69B4-2DC2-BB60-A6DF9351B586}"/>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36</xdr:row>
      <xdr:rowOff>43265</xdr:rowOff>
    </xdr:from>
    <xdr:to>
      <xdr:col>0</xdr:col>
      <xdr:colOff>1712537</xdr:colOff>
      <xdr:row>38</xdr:row>
      <xdr:rowOff>157911</xdr:rowOff>
    </xdr:to>
    <xdr:grpSp>
      <xdr:nvGrpSpPr>
        <xdr:cNvPr id="24" name="Group 23">
          <a:extLst>
            <a:ext uri="{FF2B5EF4-FFF2-40B4-BE49-F238E27FC236}">
              <a16:creationId xmlns:a16="http://schemas.microsoft.com/office/drawing/2014/main" id="{7C196C77-DC5E-F680-FB48-04FAFD6C6B6F}"/>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9A108E71-2E25-33AE-4F53-8D940CBF9B3A}"/>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9BC58E2E-6F09-856C-09F5-95D177DB45B4}"/>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72A3F4DC-4107-C118-27FB-212D35BB1B09}"/>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BA2354A2-6488-C47A-F2C6-942B7B0F8D51}"/>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41</xdr:row>
      <xdr:rowOff>104652</xdr:rowOff>
    </xdr:from>
    <xdr:to>
      <xdr:col>0</xdr:col>
      <xdr:colOff>1711005</xdr:colOff>
      <xdr:row>44</xdr:row>
      <xdr:rowOff>47449</xdr:rowOff>
    </xdr:to>
    <xdr:grpSp>
      <xdr:nvGrpSpPr>
        <xdr:cNvPr id="25" name="Group 24">
          <a:extLst>
            <a:ext uri="{FF2B5EF4-FFF2-40B4-BE49-F238E27FC236}">
              <a16:creationId xmlns:a16="http://schemas.microsoft.com/office/drawing/2014/main" id="{F99569BA-DC26-DE12-63C3-BA851955D97C}"/>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139E217B-8D00-017D-6A47-4340425DFCDA}"/>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35DE122F-1D95-33D0-FD6D-323AF62C6180}"/>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587F650C-4C2E-3848-2479-A7316F8C28D9}"/>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F65D2818-2CA2-CD9C-C018-25AF44C54AC7}"/>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44</xdr:row>
      <xdr:rowOff>64766</xdr:rowOff>
    </xdr:from>
    <xdr:to>
      <xdr:col>0</xdr:col>
      <xdr:colOff>1712668</xdr:colOff>
      <xdr:row>46</xdr:row>
      <xdr:rowOff>152044</xdr:rowOff>
    </xdr:to>
    <xdr:grpSp>
      <xdr:nvGrpSpPr>
        <xdr:cNvPr id="27" name="Group 26">
          <a:extLst>
            <a:ext uri="{FF2B5EF4-FFF2-40B4-BE49-F238E27FC236}">
              <a16:creationId xmlns:a16="http://schemas.microsoft.com/office/drawing/2014/main" id="{04869036-B512-0723-F2C5-B8C6BA617016}"/>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C82EA6F5-FAE1-6DF7-F332-468AFA109065}"/>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D98A570C-525F-3F58-912D-9C64B5A158DF}"/>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FC283CAA-A73D-5047-8852-8BB728E06AF8}"/>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1D2AA059-CCE2-CC43-100F-4BACAD4C974B}"/>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46</xdr:row>
      <xdr:rowOff>170882</xdr:rowOff>
    </xdr:from>
    <xdr:to>
      <xdr:col>0</xdr:col>
      <xdr:colOff>1711471</xdr:colOff>
      <xdr:row>49</xdr:row>
      <xdr:rowOff>106909</xdr:rowOff>
    </xdr:to>
    <xdr:grpSp>
      <xdr:nvGrpSpPr>
        <xdr:cNvPr id="28" name="Group 27">
          <a:extLst>
            <a:ext uri="{FF2B5EF4-FFF2-40B4-BE49-F238E27FC236}">
              <a16:creationId xmlns:a16="http://schemas.microsoft.com/office/drawing/2014/main" id="{F6384ABD-412C-0DA6-175E-4616E32E837E}"/>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0A8D04E5-F92F-E310-5563-FCE948AAFF2B}"/>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ECBE2323-2209-B8A9-DCD3-4C932062CAD7}"/>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B995FCAA-D6A2-F781-EF0A-4946342C6590}"/>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6EAD70EB-A8E1-6272-C7C2-363D3D42EAAC}"/>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22</xdr:row>
      <xdr:rowOff>125747</xdr:rowOff>
    </xdr:from>
    <xdr:to>
      <xdr:col>0</xdr:col>
      <xdr:colOff>1707169</xdr:colOff>
      <xdr:row>25</xdr:row>
      <xdr:rowOff>58716</xdr:rowOff>
    </xdr:to>
    <xdr:grpSp>
      <xdr:nvGrpSpPr>
        <xdr:cNvPr id="29" name="Group 28">
          <a:extLst>
            <a:ext uri="{FF2B5EF4-FFF2-40B4-BE49-F238E27FC236}">
              <a16:creationId xmlns:a16="http://schemas.microsoft.com/office/drawing/2014/main" id="{14E1926B-E472-57FD-5E67-BBC7A5309E33}"/>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C6FAC41A-28A4-796B-D99B-52B22A87867D}"/>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5D600866-68A4-45DC-D80B-E905AC84B984}"/>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1F009326-CDB3-2136-16D0-5E612BCDA690}"/>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F25E9D84-C324-8A6D-05E0-49B774D3ADBD}"/>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49</xdr:row>
      <xdr:rowOff>119454</xdr:rowOff>
    </xdr:from>
    <xdr:to>
      <xdr:col>0</xdr:col>
      <xdr:colOff>1711953</xdr:colOff>
      <xdr:row>52</xdr:row>
      <xdr:rowOff>55481</xdr:rowOff>
    </xdr:to>
    <xdr:grpSp>
      <xdr:nvGrpSpPr>
        <xdr:cNvPr id="32" name="Group 31">
          <a:extLst>
            <a:ext uri="{FF2B5EF4-FFF2-40B4-BE49-F238E27FC236}">
              <a16:creationId xmlns:a16="http://schemas.microsoft.com/office/drawing/2014/main" id="{BFE178BC-B492-6B20-96E3-7C9E92D0E464}"/>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80BD7137-2DE9-F449-2039-F2605F185876}"/>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AE5EFA27-1B0E-583A-1920-32337D720689}"/>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D106855C-BD37-B486-8919-2C9BCFD3F1D5}"/>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AA2A31CC-3546-228D-FB73-5078511DBC77}"/>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2" name="Group 1">
          <a:extLst>
            <a:ext uri="{FF2B5EF4-FFF2-40B4-BE49-F238E27FC236}">
              <a16:creationId xmlns:a16="http://schemas.microsoft.com/office/drawing/2014/main" id="{1682DAFF-74FE-4B59-B668-2EE8F9946D1A}"/>
            </a:ext>
          </a:extLst>
        </xdr:cNvPr>
        <xdr:cNvGrpSpPr/>
      </xdr:nvGrpSpPr>
      <xdr:grpSpPr>
        <a:xfrm>
          <a:off x="11555761" y="0"/>
          <a:ext cx="0" cy="286106"/>
          <a:chOff x="7108587" y="129950"/>
          <a:chExt cx="884099" cy="287016"/>
        </a:xfrm>
      </xdr:grpSpPr>
      <xdr:pic>
        <xdr:nvPicPr>
          <xdr:cNvPr id="137" name="Graphic 136" descr="Rewind with solid fill">
            <a:hlinkClick xmlns:r="http://schemas.openxmlformats.org/officeDocument/2006/relationships" r:id="rId28"/>
            <a:extLst>
              <a:ext uri="{FF2B5EF4-FFF2-40B4-BE49-F238E27FC236}">
                <a16:creationId xmlns:a16="http://schemas.microsoft.com/office/drawing/2014/main" id="{816FE634-88BC-FA22-6333-40CC7B0361C4}"/>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38" name="TextBox 137">
            <a:hlinkClick xmlns:r="http://schemas.openxmlformats.org/officeDocument/2006/relationships" r:id="rId28"/>
            <a:extLst>
              <a:ext uri="{FF2B5EF4-FFF2-40B4-BE49-F238E27FC236}">
                <a16:creationId xmlns:a16="http://schemas.microsoft.com/office/drawing/2014/main" id="{81A91631-9FE2-AF2F-0F68-63E5630C8A5D}"/>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39" name="Group 138">
          <a:extLst>
            <a:ext uri="{FF2B5EF4-FFF2-40B4-BE49-F238E27FC236}">
              <a16:creationId xmlns:a16="http://schemas.microsoft.com/office/drawing/2014/main" id="{03E46B02-7720-44BA-A2A6-E2AA940903B5}"/>
            </a:ext>
          </a:extLst>
        </xdr:cNvPr>
        <xdr:cNvGrpSpPr/>
      </xdr:nvGrpSpPr>
      <xdr:grpSpPr>
        <a:xfrm>
          <a:off x="11555761" y="50800"/>
          <a:ext cx="0" cy="286106"/>
          <a:chOff x="7108587" y="129950"/>
          <a:chExt cx="884099" cy="287016"/>
        </a:xfrm>
      </xdr:grpSpPr>
      <xdr:pic>
        <xdr:nvPicPr>
          <xdr:cNvPr id="140" name="Graphic 139" descr="Rewind with solid fill">
            <a:hlinkClick xmlns:r="http://schemas.openxmlformats.org/officeDocument/2006/relationships" r:id="rId28"/>
            <a:extLst>
              <a:ext uri="{FF2B5EF4-FFF2-40B4-BE49-F238E27FC236}">
                <a16:creationId xmlns:a16="http://schemas.microsoft.com/office/drawing/2014/main" id="{72AACDD3-367E-99BD-1175-60792ED5A7AA}"/>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41" name="TextBox 140">
            <a:hlinkClick xmlns:r="http://schemas.openxmlformats.org/officeDocument/2006/relationships" r:id="rId28"/>
            <a:extLst>
              <a:ext uri="{FF2B5EF4-FFF2-40B4-BE49-F238E27FC236}">
                <a16:creationId xmlns:a16="http://schemas.microsoft.com/office/drawing/2014/main" id="{C9132B7D-E875-7BF4-8995-9C4B609BD7C2}"/>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142" name="Group 141">
          <a:extLst>
            <a:ext uri="{FF2B5EF4-FFF2-40B4-BE49-F238E27FC236}">
              <a16:creationId xmlns:a16="http://schemas.microsoft.com/office/drawing/2014/main" id="{6684980F-2CCB-4C08-9FAC-F9949E7AA25E}"/>
            </a:ext>
          </a:extLst>
        </xdr:cNvPr>
        <xdr:cNvGrpSpPr/>
      </xdr:nvGrpSpPr>
      <xdr:grpSpPr>
        <a:xfrm>
          <a:off x="11555761" y="0"/>
          <a:ext cx="0" cy="286106"/>
          <a:chOff x="7108587" y="129950"/>
          <a:chExt cx="884099" cy="287016"/>
        </a:xfrm>
      </xdr:grpSpPr>
      <xdr:pic>
        <xdr:nvPicPr>
          <xdr:cNvPr id="143" name="Graphic 142" descr="Rewind with solid fill">
            <a:hlinkClick xmlns:r="http://schemas.openxmlformats.org/officeDocument/2006/relationships" r:id="rId28"/>
            <a:extLst>
              <a:ext uri="{FF2B5EF4-FFF2-40B4-BE49-F238E27FC236}">
                <a16:creationId xmlns:a16="http://schemas.microsoft.com/office/drawing/2014/main" id="{EF8BC591-A9B7-4A91-611D-ED0410275C30}"/>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44" name="TextBox 143">
            <a:hlinkClick xmlns:r="http://schemas.openxmlformats.org/officeDocument/2006/relationships" r:id="rId28"/>
            <a:extLst>
              <a:ext uri="{FF2B5EF4-FFF2-40B4-BE49-F238E27FC236}">
                <a16:creationId xmlns:a16="http://schemas.microsoft.com/office/drawing/2014/main" id="{0BC9311E-E44C-5A59-B64C-1F45762F9F00}"/>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45" name="Group 144">
          <a:extLst>
            <a:ext uri="{FF2B5EF4-FFF2-40B4-BE49-F238E27FC236}">
              <a16:creationId xmlns:a16="http://schemas.microsoft.com/office/drawing/2014/main" id="{B5CD9933-CB29-4886-910F-FC46C2105E78}"/>
            </a:ext>
          </a:extLst>
        </xdr:cNvPr>
        <xdr:cNvGrpSpPr/>
      </xdr:nvGrpSpPr>
      <xdr:grpSpPr>
        <a:xfrm>
          <a:off x="11555761" y="50800"/>
          <a:ext cx="0" cy="286106"/>
          <a:chOff x="7108587" y="129950"/>
          <a:chExt cx="884099" cy="287016"/>
        </a:xfrm>
      </xdr:grpSpPr>
      <xdr:pic>
        <xdr:nvPicPr>
          <xdr:cNvPr id="146" name="Graphic 145" descr="Rewind with solid fill">
            <a:hlinkClick xmlns:r="http://schemas.openxmlformats.org/officeDocument/2006/relationships" r:id="rId28"/>
            <a:extLst>
              <a:ext uri="{FF2B5EF4-FFF2-40B4-BE49-F238E27FC236}">
                <a16:creationId xmlns:a16="http://schemas.microsoft.com/office/drawing/2014/main" id="{1D3A7B55-2179-16FF-2495-088DE744B507}"/>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47" name="TextBox 146">
            <a:hlinkClick xmlns:r="http://schemas.openxmlformats.org/officeDocument/2006/relationships" r:id="rId28"/>
            <a:extLst>
              <a:ext uri="{FF2B5EF4-FFF2-40B4-BE49-F238E27FC236}">
                <a16:creationId xmlns:a16="http://schemas.microsoft.com/office/drawing/2014/main" id="{3DB7E1D9-A5AF-E7F2-3D7E-00F791DBADFC}"/>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148" name="Group 147">
          <a:extLst>
            <a:ext uri="{FF2B5EF4-FFF2-40B4-BE49-F238E27FC236}">
              <a16:creationId xmlns:a16="http://schemas.microsoft.com/office/drawing/2014/main" id="{07FF8740-2BD0-44D9-B9C1-5E6AB19ECBE4}"/>
            </a:ext>
          </a:extLst>
        </xdr:cNvPr>
        <xdr:cNvGrpSpPr/>
      </xdr:nvGrpSpPr>
      <xdr:grpSpPr>
        <a:xfrm>
          <a:off x="11555761" y="0"/>
          <a:ext cx="0" cy="286106"/>
          <a:chOff x="7108587" y="129950"/>
          <a:chExt cx="884099" cy="287016"/>
        </a:xfrm>
      </xdr:grpSpPr>
      <xdr:pic>
        <xdr:nvPicPr>
          <xdr:cNvPr id="149" name="Graphic 148" descr="Rewind with solid fill">
            <a:hlinkClick xmlns:r="http://schemas.openxmlformats.org/officeDocument/2006/relationships" r:id="rId28"/>
            <a:extLst>
              <a:ext uri="{FF2B5EF4-FFF2-40B4-BE49-F238E27FC236}">
                <a16:creationId xmlns:a16="http://schemas.microsoft.com/office/drawing/2014/main" id="{DCD511C7-C706-57E4-2D42-FF7DCD11194B}"/>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50" name="TextBox 149">
            <a:hlinkClick xmlns:r="http://schemas.openxmlformats.org/officeDocument/2006/relationships" r:id="rId28"/>
            <a:extLst>
              <a:ext uri="{FF2B5EF4-FFF2-40B4-BE49-F238E27FC236}">
                <a16:creationId xmlns:a16="http://schemas.microsoft.com/office/drawing/2014/main" id="{FC2DCF15-0E3F-6164-892A-C58BBD1575CA}"/>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51" name="Group 150">
          <a:extLst>
            <a:ext uri="{FF2B5EF4-FFF2-40B4-BE49-F238E27FC236}">
              <a16:creationId xmlns:a16="http://schemas.microsoft.com/office/drawing/2014/main" id="{627DA35C-B5C3-4CCF-88EA-AE97A16C06CF}"/>
            </a:ext>
          </a:extLst>
        </xdr:cNvPr>
        <xdr:cNvGrpSpPr/>
      </xdr:nvGrpSpPr>
      <xdr:grpSpPr>
        <a:xfrm>
          <a:off x="11555761" y="50800"/>
          <a:ext cx="0" cy="286106"/>
          <a:chOff x="7108587" y="129950"/>
          <a:chExt cx="884099" cy="287016"/>
        </a:xfrm>
      </xdr:grpSpPr>
      <xdr:pic>
        <xdr:nvPicPr>
          <xdr:cNvPr id="152" name="Graphic 151" descr="Rewind with solid fill">
            <a:hlinkClick xmlns:r="http://schemas.openxmlformats.org/officeDocument/2006/relationships" r:id="rId28"/>
            <a:extLst>
              <a:ext uri="{FF2B5EF4-FFF2-40B4-BE49-F238E27FC236}">
                <a16:creationId xmlns:a16="http://schemas.microsoft.com/office/drawing/2014/main" id="{E07E4F72-52C0-901A-84CB-280CBD023ECD}"/>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53" name="TextBox 152">
            <a:hlinkClick xmlns:r="http://schemas.openxmlformats.org/officeDocument/2006/relationships" r:id="rId28"/>
            <a:extLst>
              <a:ext uri="{FF2B5EF4-FFF2-40B4-BE49-F238E27FC236}">
                <a16:creationId xmlns:a16="http://schemas.microsoft.com/office/drawing/2014/main" id="{CD6AA225-025B-4FEB-4E94-639C4AA4DE16}"/>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0</xdr:rowOff>
    </xdr:from>
    <xdr:to>
      <xdr:col>6</xdr:col>
      <xdr:colOff>608361</xdr:colOff>
      <xdr:row>1</xdr:row>
      <xdr:rowOff>82906</xdr:rowOff>
    </xdr:to>
    <xdr:grpSp>
      <xdr:nvGrpSpPr>
        <xdr:cNvPr id="154" name="Group 153">
          <a:extLst>
            <a:ext uri="{FF2B5EF4-FFF2-40B4-BE49-F238E27FC236}">
              <a16:creationId xmlns:a16="http://schemas.microsoft.com/office/drawing/2014/main" id="{B962376C-1F82-4CB0-B100-83599C29E040}"/>
            </a:ext>
          </a:extLst>
        </xdr:cNvPr>
        <xdr:cNvGrpSpPr/>
      </xdr:nvGrpSpPr>
      <xdr:grpSpPr>
        <a:xfrm>
          <a:off x="11555761" y="0"/>
          <a:ext cx="0" cy="286106"/>
          <a:chOff x="7108587" y="129950"/>
          <a:chExt cx="884099" cy="287016"/>
        </a:xfrm>
      </xdr:grpSpPr>
      <xdr:pic>
        <xdr:nvPicPr>
          <xdr:cNvPr id="155" name="Graphic 154" descr="Rewind with solid fill">
            <a:hlinkClick xmlns:r="http://schemas.openxmlformats.org/officeDocument/2006/relationships" r:id="rId28"/>
            <a:extLst>
              <a:ext uri="{FF2B5EF4-FFF2-40B4-BE49-F238E27FC236}">
                <a16:creationId xmlns:a16="http://schemas.microsoft.com/office/drawing/2014/main" id="{9E6D3AEB-9A0D-BB12-16D4-D3FDBC523419}"/>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56" name="TextBox 155">
            <a:hlinkClick xmlns:r="http://schemas.openxmlformats.org/officeDocument/2006/relationships" r:id="rId28"/>
            <a:extLst>
              <a:ext uri="{FF2B5EF4-FFF2-40B4-BE49-F238E27FC236}">
                <a16:creationId xmlns:a16="http://schemas.microsoft.com/office/drawing/2014/main" id="{5E1F5E7E-5523-78FA-37F8-3AA1BDA25B3F}"/>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6</xdr:col>
      <xdr:colOff>608361</xdr:colOff>
      <xdr:row>0</xdr:row>
      <xdr:rowOff>50800</xdr:rowOff>
    </xdr:from>
    <xdr:to>
      <xdr:col>6</xdr:col>
      <xdr:colOff>608361</xdr:colOff>
      <xdr:row>1</xdr:row>
      <xdr:rowOff>133706</xdr:rowOff>
    </xdr:to>
    <xdr:grpSp>
      <xdr:nvGrpSpPr>
        <xdr:cNvPr id="157" name="Group 156">
          <a:extLst>
            <a:ext uri="{FF2B5EF4-FFF2-40B4-BE49-F238E27FC236}">
              <a16:creationId xmlns:a16="http://schemas.microsoft.com/office/drawing/2014/main" id="{91481C05-2795-4A7C-B094-F4FE86731C3A}"/>
            </a:ext>
          </a:extLst>
        </xdr:cNvPr>
        <xdr:cNvGrpSpPr/>
      </xdr:nvGrpSpPr>
      <xdr:grpSpPr>
        <a:xfrm>
          <a:off x="11555761" y="50800"/>
          <a:ext cx="0" cy="286106"/>
          <a:chOff x="7108587" y="129950"/>
          <a:chExt cx="884099" cy="287016"/>
        </a:xfrm>
      </xdr:grpSpPr>
      <xdr:pic>
        <xdr:nvPicPr>
          <xdr:cNvPr id="158" name="Graphic 157" descr="Rewind with solid fill">
            <a:hlinkClick xmlns:r="http://schemas.openxmlformats.org/officeDocument/2006/relationships" r:id="rId28"/>
            <a:extLst>
              <a:ext uri="{FF2B5EF4-FFF2-40B4-BE49-F238E27FC236}">
                <a16:creationId xmlns:a16="http://schemas.microsoft.com/office/drawing/2014/main" id="{BC269B6A-5B05-75D7-5F27-E74ECF113771}"/>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59" name="TextBox 158">
            <a:hlinkClick xmlns:r="http://schemas.openxmlformats.org/officeDocument/2006/relationships" r:id="rId28"/>
            <a:extLst>
              <a:ext uri="{FF2B5EF4-FFF2-40B4-BE49-F238E27FC236}">
                <a16:creationId xmlns:a16="http://schemas.microsoft.com/office/drawing/2014/main" id="{3C1AF898-165B-4F55-EF1D-3510C250AB8C}"/>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7</xdr:col>
      <xdr:colOff>0</xdr:colOff>
      <xdr:row>0</xdr:row>
      <xdr:rowOff>0</xdr:rowOff>
    </xdr:from>
    <xdr:to>
      <xdr:col>7</xdr:col>
      <xdr:colOff>774288</xdr:colOff>
      <xdr:row>1</xdr:row>
      <xdr:rowOff>82906</xdr:rowOff>
    </xdr:to>
    <xdr:grpSp>
      <xdr:nvGrpSpPr>
        <xdr:cNvPr id="160" name="Group 159">
          <a:extLst>
            <a:ext uri="{FF2B5EF4-FFF2-40B4-BE49-F238E27FC236}">
              <a16:creationId xmlns:a16="http://schemas.microsoft.com/office/drawing/2014/main" id="{232A5EF9-1DA6-481D-BD4B-9A68FC28A730}"/>
            </a:ext>
          </a:extLst>
        </xdr:cNvPr>
        <xdr:cNvGrpSpPr/>
      </xdr:nvGrpSpPr>
      <xdr:grpSpPr>
        <a:xfrm>
          <a:off x="126111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2182BCD4-325C-417C-86AB-6F3246E121DC}"/>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49C746CA-D3CD-DB3A-B0E9-C48870DC325C}"/>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52</xdr:row>
      <xdr:rowOff>95250</xdr:rowOff>
    </xdr:from>
    <xdr:to>
      <xdr:col>0</xdr:col>
      <xdr:colOff>1713549</xdr:colOff>
      <xdr:row>64</xdr:row>
      <xdr:rowOff>111557</xdr:rowOff>
    </xdr:to>
    <xdr:grpSp>
      <xdr:nvGrpSpPr>
        <xdr:cNvPr id="163" name="Group 162">
          <a:extLst>
            <a:ext uri="{FF2B5EF4-FFF2-40B4-BE49-F238E27FC236}">
              <a16:creationId xmlns:a16="http://schemas.microsoft.com/office/drawing/2014/main" id="{4ED50C25-7183-4F36-A45F-603B7CF179F3}"/>
            </a:ext>
          </a:extLst>
        </xdr:cNvPr>
        <xdr:cNvGrpSpPr/>
      </xdr:nvGrpSpPr>
      <xdr:grpSpPr>
        <a:xfrm>
          <a:off x="0" y="12465050"/>
          <a:ext cx="1713549" cy="2226107"/>
          <a:chOff x="5137727" y="13144500"/>
          <a:chExt cx="1713549" cy="2252946"/>
        </a:xfrm>
      </xdr:grpSpPr>
      <xdr:grpSp>
        <xdr:nvGrpSpPr>
          <xdr:cNvPr id="164" name="Group 163">
            <a:extLst>
              <a:ext uri="{FF2B5EF4-FFF2-40B4-BE49-F238E27FC236}">
                <a16:creationId xmlns:a16="http://schemas.microsoft.com/office/drawing/2014/main" id="{205F3483-3346-ADC8-84D0-0A4C31A6DE5B}"/>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2DA782DE-96F9-061F-C5CD-2AA490E8CDDF}"/>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58F94CA0-8C67-2BFE-AF77-FE3E352F5369}"/>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A6A0EA5A-A0F0-3229-5521-A82FA29C9F94}"/>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899D0A5D-C2F3-DEF2-8A1C-4CBFB0D9435E}"/>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16D93FF9-2176-77A4-47C4-7B8A27692694}"/>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BF3445B0-13CD-FFE5-5450-E6C43E23357D}"/>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95B272D0-8662-4137-3EEF-4FDC96374E01}"/>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B2DABE6F-866C-F913-6436-E02CEFF1F36D}"/>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4237F1DD-75F6-C162-8E95-58963D0B4D3A}"/>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96A1BC4B-7EBC-6E45-3D82-4BB5CB4A247A}"/>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FF876C27-4A84-0501-7EB8-70E6A26C394F}"/>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993E91EB-08CB-CD24-8E2D-837B06E8EDF1}"/>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A40CCAA8-E327-EE02-EDB5-858825CF6E4E}"/>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136F3A66-2C2F-A889-A14F-34F1AEF892B3}"/>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0D4ECD90-F8C1-6A54-5135-168F77F40D6B}"/>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706755D2-FE98-7D7B-1342-D0F8D9881103}"/>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01A04DBE-B411-2A46-D650-A73CA24FE229}"/>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4705D856-891F-9249-3594-205214FA1102}"/>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420755A2-1854-4777-7C8A-237A42807276}"/>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D042E799-55D9-0B9A-1530-E7B7AB51BAD1}"/>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41</xdr:row>
      <xdr:rowOff>57150</xdr:rowOff>
    </xdr:to>
    <xdr:sp macro="" textlink="">
      <xdr:nvSpPr>
        <xdr:cNvPr id="4" name="Rectangle: Rounded Corners 3">
          <a:extLst>
            <a:ext uri="{FF2B5EF4-FFF2-40B4-BE49-F238E27FC236}">
              <a16:creationId xmlns:a16="http://schemas.microsoft.com/office/drawing/2014/main" id="{B371F20F-8664-24BB-1ECA-A2D29448339D}"/>
            </a:ext>
          </a:extLst>
        </xdr:cNvPr>
        <xdr:cNvSpPr/>
      </xdr:nvSpPr>
      <xdr:spPr>
        <a:xfrm>
          <a:off x="0" y="0"/>
          <a:ext cx="1841776" cy="148209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B46E1651-B764-829C-E508-CE4A4DCD9CE5}"/>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9A656221-29FE-5E40-CE80-30E3A026AB1E}"/>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5B4C9C76-439B-86B2-BCAB-E7902A171896}"/>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515019D9-3109-3D74-340F-7C0018E8FE01}"/>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278D5449-1CF3-1369-70C9-FA99B3F37CB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69124</xdr:rowOff>
    </xdr:to>
    <xdr:grpSp>
      <xdr:nvGrpSpPr>
        <xdr:cNvPr id="7" name="Group 6">
          <a:extLst>
            <a:ext uri="{FF2B5EF4-FFF2-40B4-BE49-F238E27FC236}">
              <a16:creationId xmlns:a16="http://schemas.microsoft.com/office/drawing/2014/main" id="{3FCDF8AB-4D64-DF13-9918-0D39190E5E63}"/>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2C09050D-F773-D7B8-B87B-C4013AA8347E}"/>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05561D8E-2D44-429B-88B2-8AEBE62E3259}"/>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AA6A8AC1-C35D-418A-9597-E3EDE0E2E6E9}"/>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598989</xdr:rowOff>
    </xdr:from>
    <xdr:to>
      <xdr:col>0</xdr:col>
      <xdr:colOff>1717958</xdr:colOff>
      <xdr:row>5</xdr:row>
      <xdr:rowOff>126051</xdr:rowOff>
    </xdr:to>
    <xdr:grpSp>
      <xdr:nvGrpSpPr>
        <xdr:cNvPr id="8" name="Group 7">
          <a:extLst>
            <a:ext uri="{FF2B5EF4-FFF2-40B4-BE49-F238E27FC236}">
              <a16:creationId xmlns:a16="http://schemas.microsoft.com/office/drawing/2014/main" id="{214AD638-E128-EE11-E58C-58EF4C406EDB}"/>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CE6D4751-7852-F824-547E-8DF5EBA1153E}"/>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1495D16B-2D1E-0DFF-74A5-0B492C621410}"/>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9775E4BA-329A-EEE5-BDE5-006F223CB0E1}"/>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147702</xdr:rowOff>
    </xdr:from>
    <xdr:to>
      <xdr:col>0</xdr:col>
      <xdr:colOff>1715516</xdr:colOff>
      <xdr:row>6</xdr:row>
      <xdr:rowOff>41227</xdr:rowOff>
    </xdr:to>
    <xdr:grpSp>
      <xdr:nvGrpSpPr>
        <xdr:cNvPr id="9" name="Group 8">
          <a:extLst>
            <a:ext uri="{FF2B5EF4-FFF2-40B4-BE49-F238E27FC236}">
              <a16:creationId xmlns:a16="http://schemas.microsoft.com/office/drawing/2014/main" id="{79B59DE3-88D0-DD5A-784B-5037870BC698}"/>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8CB1A847-A6D0-13DE-6E79-E524B8A608C0}"/>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12F25911-1DD3-2959-F104-7E41A0AC69E6}"/>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997560DC-8D55-D8FF-920C-5ED5A8782836}"/>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55506</xdr:rowOff>
    </xdr:from>
    <xdr:to>
      <xdr:col>0</xdr:col>
      <xdr:colOff>1713076</xdr:colOff>
      <xdr:row>7</xdr:row>
      <xdr:rowOff>146052</xdr:rowOff>
    </xdr:to>
    <xdr:grpSp>
      <xdr:nvGrpSpPr>
        <xdr:cNvPr id="10" name="Group 9">
          <a:extLst>
            <a:ext uri="{FF2B5EF4-FFF2-40B4-BE49-F238E27FC236}">
              <a16:creationId xmlns:a16="http://schemas.microsoft.com/office/drawing/2014/main" id="{53504518-3572-A35D-C3E4-8285EBDF2FC4}"/>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5DFBD853-2857-31B5-1899-4A690DA1C8EF}"/>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D44AEB52-8DE4-4093-CE73-08F8A64E6582}"/>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CD4ACF0C-2CE7-B2FD-9812-FE52A80955D6}"/>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784A8B5D-C142-3326-E3DF-B02285F319D8}"/>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91425</xdr:rowOff>
    </xdr:from>
    <xdr:to>
      <xdr:col>0</xdr:col>
      <xdr:colOff>1716667</xdr:colOff>
      <xdr:row>4</xdr:row>
      <xdr:rowOff>578364</xdr:rowOff>
    </xdr:to>
    <xdr:grpSp>
      <xdr:nvGrpSpPr>
        <xdr:cNvPr id="11" name="Group 10">
          <a:extLst>
            <a:ext uri="{FF2B5EF4-FFF2-40B4-BE49-F238E27FC236}">
              <a16:creationId xmlns:a16="http://schemas.microsoft.com/office/drawing/2014/main" id="{6060AAE7-9C04-5D65-C3D1-10238ECBF0E3}"/>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D7D78D32-95BB-82E3-B8F7-E22D98088522}"/>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E9E0334E-8A23-D184-FEAB-ACBA86FE3688}"/>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61626271-4FF8-41E2-DA20-82030BCDFBC4}"/>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159236</xdr:rowOff>
    </xdr:from>
    <xdr:to>
      <xdr:col>0</xdr:col>
      <xdr:colOff>1713094</xdr:colOff>
      <xdr:row>7</xdr:row>
      <xdr:rowOff>642755</xdr:rowOff>
    </xdr:to>
    <xdr:grpSp>
      <xdr:nvGrpSpPr>
        <xdr:cNvPr id="12" name="Group 11">
          <a:extLst>
            <a:ext uri="{FF2B5EF4-FFF2-40B4-BE49-F238E27FC236}">
              <a16:creationId xmlns:a16="http://schemas.microsoft.com/office/drawing/2014/main" id="{648325CB-1A92-FC0A-7DF7-265636012CED}"/>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3491DA5E-92FB-9B56-9F18-2EE889273C31}"/>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391D5071-743F-C83C-814C-F2165E42745E}"/>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2C0B80F4-51EE-2153-835C-F3C2B557E7FD}"/>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D9F4A516-EFB6-4804-D6F1-44F2B9A493BF}"/>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7</xdr:row>
      <xdr:rowOff>655553</xdr:rowOff>
    </xdr:from>
    <xdr:to>
      <xdr:col>0</xdr:col>
      <xdr:colOff>1713246</xdr:colOff>
      <xdr:row>8</xdr:row>
      <xdr:rowOff>380760</xdr:rowOff>
    </xdr:to>
    <xdr:grpSp>
      <xdr:nvGrpSpPr>
        <xdr:cNvPr id="13" name="Group 12">
          <a:extLst>
            <a:ext uri="{FF2B5EF4-FFF2-40B4-BE49-F238E27FC236}">
              <a16:creationId xmlns:a16="http://schemas.microsoft.com/office/drawing/2014/main" id="{9666648D-EBC2-6EC6-F6AA-00BECD5266EF}"/>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81804FFD-1393-467E-55A2-79809DA8A169}"/>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6095D430-898C-2B42-5385-A93E4FEBCB60}"/>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18251D1C-0663-7E17-C359-1C003891161E}"/>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5EC10AE6-F6B4-AD66-EC86-BE7DEBC2EA37}"/>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397990</xdr:rowOff>
    </xdr:from>
    <xdr:to>
      <xdr:col>0</xdr:col>
      <xdr:colOff>1709917</xdr:colOff>
      <xdr:row>9</xdr:row>
      <xdr:rowOff>156008</xdr:rowOff>
    </xdr:to>
    <xdr:grpSp>
      <xdr:nvGrpSpPr>
        <xdr:cNvPr id="14" name="Group 13">
          <a:extLst>
            <a:ext uri="{FF2B5EF4-FFF2-40B4-BE49-F238E27FC236}">
              <a16:creationId xmlns:a16="http://schemas.microsoft.com/office/drawing/2014/main" id="{D370AA5E-A351-8708-6C08-56CDCF91905E}"/>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D7EF7250-A600-CFBE-DE6D-C565FA17F040}"/>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53A866B7-2556-9A8D-7BC0-F94032BE0AB2}"/>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6F7E653A-4090-7C6A-23BE-AF94FF4D0223}"/>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54B69DD0-070F-6067-1AA0-49E2AD7F79B2}"/>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178347</xdr:rowOff>
    </xdr:from>
    <xdr:to>
      <xdr:col>0</xdr:col>
      <xdr:colOff>1709302</xdr:colOff>
      <xdr:row>10</xdr:row>
      <xdr:rowOff>82231</xdr:rowOff>
    </xdr:to>
    <xdr:grpSp>
      <xdr:nvGrpSpPr>
        <xdr:cNvPr id="15" name="Group 14">
          <a:extLst>
            <a:ext uri="{FF2B5EF4-FFF2-40B4-BE49-F238E27FC236}">
              <a16:creationId xmlns:a16="http://schemas.microsoft.com/office/drawing/2014/main" id="{BB7EF73F-7700-78E3-3A70-ADB9F5ADE497}"/>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DCB848BA-760B-758E-BAC6-F81597FC56AB}"/>
              </a:ext>
            </a:extLst>
          </xdr:cNvPr>
          <xdr:cNvSpPr/>
        </xdr:nvSpPr>
        <xdr:spPr>
          <a:xfrm>
            <a:off x="2219" y="4955466"/>
            <a:ext cx="1709047" cy="449796"/>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287258FD-096F-AEA0-ED00-A14C0177B0C5}"/>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104" name="Oval 103">
            <a:extLst>
              <a:ext uri="{FF2B5EF4-FFF2-40B4-BE49-F238E27FC236}">
                <a16:creationId xmlns:a16="http://schemas.microsoft.com/office/drawing/2014/main" id="{631659D3-04B2-E90B-8AEF-7EF8E9121EFB}"/>
              </a:ext>
            </a:extLst>
          </xdr:cNvPr>
          <xdr:cNvSpPr/>
        </xdr:nvSpPr>
        <xdr:spPr>
          <a:xfrm>
            <a:off x="96805" y="5033484"/>
            <a:ext cx="286142" cy="292963"/>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4B391042-F09D-F891-FDD9-9688096F41CB}"/>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Noise Exposure</a:t>
            </a:r>
          </a:p>
        </xdr:txBody>
      </xdr:sp>
    </xdr:grpSp>
    <xdr:clientData/>
  </xdr:twoCellAnchor>
  <xdr:twoCellAnchor>
    <xdr:from>
      <xdr:col>0</xdr:col>
      <xdr:colOff>2129</xdr:colOff>
      <xdr:row>10</xdr:row>
      <xdr:rowOff>101148</xdr:rowOff>
    </xdr:from>
    <xdr:to>
      <xdr:col>0</xdr:col>
      <xdr:colOff>1709298</xdr:colOff>
      <xdr:row>11</xdr:row>
      <xdr:rowOff>38044</xdr:rowOff>
    </xdr:to>
    <xdr:grpSp>
      <xdr:nvGrpSpPr>
        <xdr:cNvPr id="16" name="Group 15">
          <a:extLst>
            <a:ext uri="{FF2B5EF4-FFF2-40B4-BE49-F238E27FC236}">
              <a16:creationId xmlns:a16="http://schemas.microsoft.com/office/drawing/2014/main" id="{BE8F7DD0-E82B-E059-4EAD-26D4E59674F3}"/>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491F1617-8A05-4986-7F1B-D4EB6B6D7926}"/>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19F6AB6B-848B-E638-5BF8-D9902DD50636}"/>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6C4D4FF0-364E-AFAD-AF61-C8923433B526}"/>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82509949-C1A5-5260-A3F6-12706795C44E}"/>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55899</xdr:rowOff>
    </xdr:from>
    <xdr:to>
      <xdr:col>0</xdr:col>
      <xdr:colOff>1709296</xdr:colOff>
      <xdr:row>11</xdr:row>
      <xdr:rowOff>550517</xdr:rowOff>
    </xdr:to>
    <xdr:grpSp>
      <xdr:nvGrpSpPr>
        <xdr:cNvPr id="17" name="Group 16">
          <a:extLst>
            <a:ext uri="{FF2B5EF4-FFF2-40B4-BE49-F238E27FC236}">
              <a16:creationId xmlns:a16="http://schemas.microsoft.com/office/drawing/2014/main" id="{C5935A76-E352-E33E-45AE-6EC5C97811E2}"/>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D685FF85-5FD3-2101-742A-DD4915502852}"/>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D09E3A32-81A0-0469-5725-6C5CDD3D5E79}"/>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769B6DC5-1380-FED6-2B51-1884F4A0F23C}"/>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9B6996E4-6DE6-D504-B05E-F1EF2A2BCC76}"/>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11</xdr:row>
      <xdr:rowOff>570307</xdr:rowOff>
    </xdr:from>
    <xdr:to>
      <xdr:col>0</xdr:col>
      <xdr:colOff>1708011</xdr:colOff>
      <xdr:row>12</xdr:row>
      <xdr:rowOff>290831</xdr:rowOff>
    </xdr:to>
    <xdr:grpSp>
      <xdr:nvGrpSpPr>
        <xdr:cNvPr id="18" name="Group 17">
          <a:extLst>
            <a:ext uri="{FF2B5EF4-FFF2-40B4-BE49-F238E27FC236}">
              <a16:creationId xmlns:a16="http://schemas.microsoft.com/office/drawing/2014/main" id="{77F3C5F7-8852-C544-23E0-78178CE92FC2}"/>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B4B95372-9D74-9439-96E6-07EEB8333630}"/>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682EA492-8D0B-AC3A-C203-41E7C34FA34A}"/>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66DC2279-1D30-EBD0-0B8A-72B870516BDC}"/>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A3048D70-0FCB-A99A-2107-238646E01D4D}"/>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13</xdr:row>
      <xdr:rowOff>82193</xdr:rowOff>
    </xdr:from>
    <xdr:to>
      <xdr:col>0</xdr:col>
      <xdr:colOff>1708946</xdr:colOff>
      <xdr:row>14</xdr:row>
      <xdr:rowOff>179136</xdr:rowOff>
    </xdr:to>
    <xdr:grpSp>
      <xdr:nvGrpSpPr>
        <xdr:cNvPr id="19" name="Group 18">
          <a:extLst>
            <a:ext uri="{FF2B5EF4-FFF2-40B4-BE49-F238E27FC236}">
              <a16:creationId xmlns:a16="http://schemas.microsoft.com/office/drawing/2014/main" id="{625AFD45-40C8-BF9F-CE6B-FBA60A01B1F2}"/>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F04252D4-668E-C0AE-6B52-500F4E6FE276}"/>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71D8FB37-F82E-BCFB-36FC-4E81F98E88D7}"/>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1CFC84CF-51C5-2DDE-E698-7E929A0E7F16}"/>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7BD0A6D1-FA1D-A643-C504-52373C62BB4A}"/>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14</xdr:row>
      <xdr:rowOff>206684</xdr:rowOff>
    </xdr:from>
    <xdr:to>
      <xdr:col>0</xdr:col>
      <xdr:colOff>1710873</xdr:colOff>
      <xdr:row>14</xdr:row>
      <xdr:rowOff>695129</xdr:rowOff>
    </xdr:to>
    <xdr:grpSp>
      <xdr:nvGrpSpPr>
        <xdr:cNvPr id="20" name="Group 19">
          <a:extLst>
            <a:ext uri="{FF2B5EF4-FFF2-40B4-BE49-F238E27FC236}">
              <a16:creationId xmlns:a16="http://schemas.microsoft.com/office/drawing/2014/main" id="{FA1BC779-736E-A3A9-C3C5-7EE3D71252C4}"/>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DD81BEEA-80B9-BFB4-2D95-4EEF40B65D4C}"/>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3FDCCA31-CCDF-467D-FFC4-F4396B9EFCD4}"/>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60343C2F-D139-299D-A7AE-3147D7691251}"/>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78D1F603-BFE7-C969-7134-5BCE92EBF125}"/>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14</xdr:row>
      <xdr:rowOff>719235</xdr:rowOff>
    </xdr:from>
    <xdr:to>
      <xdr:col>0</xdr:col>
      <xdr:colOff>1712157</xdr:colOff>
      <xdr:row>16</xdr:row>
      <xdr:rowOff>77067</xdr:rowOff>
    </xdr:to>
    <xdr:grpSp>
      <xdr:nvGrpSpPr>
        <xdr:cNvPr id="21" name="Group 20">
          <a:extLst>
            <a:ext uri="{FF2B5EF4-FFF2-40B4-BE49-F238E27FC236}">
              <a16:creationId xmlns:a16="http://schemas.microsoft.com/office/drawing/2014/main" id="{15678C81-94E0-A847-39C8-2AD45B855D80}"/>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1478F03C-CE00-1928-4230-9D840003EB8B}"/>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15EEF483-E2D5-A12A-8B2E-9C122EC26C55}"/>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FF66F175-7294-EB12-D13E-E9AFBE8B3D13}"/>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BA757EF7-4D91-0ED0-0D95-0714589C4292}"/>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16</xdr:row>
      <xdr:rowOff>89855</xdr:rowOff>
    </xdr:from>
    <xdr:to>
      <xdr:col>0</xdr:col>
      <xdr:colOff>1713207</xdr:colOff>
      <xdr:row>17</xdr:row>
      <xdr:rowOff>25282</xdr:rowOff>
    </xdr:to>
    <xdr:grpSp>
      <xdr:nvGrpSpPr>
        <xdr:cNvPr id="22" name="Group 21">
          <a:extLst>
            <a:ext uri="{FF2B5EF4-FFF2-40B4-BE49-F238E27FC236}">
              <a16:creationId xmlns:a16="http://schemas.microsoft.com/office/drawing/2014/main" id="{1822ECC0-753D-375A-F4BC-D5558F2F38DC}"/>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1F6E0075-756A-AA23-B3BB-EDDA61567CD4}"/>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7B45A250-3F5F-5B9B-F038-EA31FA2B8896}"/>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F228B8DD-83D7-6FD5-1441-B2906D9E38EC}"/>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8D8D5098-AF96-8DB4-3C80-4FA47A21CAEB}"/>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17</xdr:row>
      <xdr:rowOff>550490</xdr:rowOff>
    </xdr:from>
    <xdr:to>
      <xdr:col>0</xdr:col>
      <xdr:colOff>1711774</xdr:colOff>
      <xdr:row>18</xdr:row>
      <xdr:rowOff>464553</xdr:rowOff>
    </xdr:to>
    <xdr:grpSp>
      <xdr:nvGrpSpPr>
        <xdr:cNvPr id="23" name="Group 22">
          <a:extLst>
            <a:ext uri="{FF2B5EF4-FFF2-40B4-BE49-F238E27FC236}">
              <a16:creationId xmlns:a16="http://schemas.microsoft.com/office/drawing/2014/main" id="{92D1A69C-9175-5606-B482-B7EFCF77CD0A}"/>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A8043E08-10E3-D37E-2DFA-12153DD88EFD}"/>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C7465238-57E0-C5C5-828C-51F88FB5D0A8}"/>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834F7F05-2B43-C704-59B6-ACDE4B21793F}"/>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C9ABAEC2-93F4-4437-FA94-EF7FF9F0B5D5}"/>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17</xdr:row>
      <xdr:rowOff>43265</xdr:rowOff>
    </xdr:from>
    <xdr:to>
      <xdr:col>0</xdr:col>
      <xdr:colOff>1712537</xdr:colOff>
      <xdr:row>17</xdr:row>
      <xdr:rowOff>526211</xdr:rowOff>
    </xdr:to>
    <xdr:grpSp>
      <xdr:nvGrpSpPr>
        <xdr:cNvPr id="24" name="Group 23">
          <a:extLst>
            <a:ext uri="{FF2B5EF4-FFF2-40B4-BE49-F238E27FC236}">
              <a16:creationId xmlns:a16="http://schemas.microsoft.com/office/drawing/2014/main" id="{E6B05B1A-4A93-795B-5AAE-B5CCB829EA0B}"/>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3ECA46B3-C3F6-FBD2-6EBA-DB2D679CC30D}"/>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D19038E0-F43C-2667-3967-C3A97E1F13F6}"/>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EF47E284-CE6C-7D76-5286-F9163F7A4D31}"/>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367099ED-633F-A47F-AFF1-B6BF3EC07A7B}"/>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18</xdr:row>
      <xdr:rowOff>472952</xdr:rowOff>
    </xdr:from>
    <xdr:to>
      <xdr:col>0</xdr:col>
      <xdr:colOff>1711005</xdr:colOff>
      <xdr:row>20</xdr:row>
      <xdr:rowOff>47449</xdr:rowOff>
    </xdr:to>
    <xdr:grpSp>
      <xdr:nvGrpSpPr>
        <xdr:cNvPr id="25" name="Group 24">
          <a:extLst>
            <a:ext uri="{FF2B5EF4-FFF2-40B4-BE49-F238E27FC236}">
              <a16:creationId xmlns:a16="http://schemas.microsoft.com/office/drawing/2014/main" id="{4C15DC89-82F3-637B-140F-96159B48FBA8}"/>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24F716E4-9537-3926-5CE4-0F473194F2B7}"/>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280EFAD5-8B7E-0725-C93C-AF9344F61A4C}"/>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7C180A7D-7A72-AEE4-793C-DE9BD59892FC}"/>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16640245-090E-BAD9-C5FD-377959AEFD7F}"/>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20</xdr:row>
      <xdr:rowOff>64766</xdr:rowOff>
    </xdr:from>
    <xdr:to>
      <xdr:col>0</xdr:col>
      <xdr:colOff>1712668</xdr:colOff>
      <xdr:row>22</xdr:row>
      <xdr:rowOff>152044</xdr:rowOff>
    </xdr:to>
    <xdr:grpSp>
      <xdr:nvGrpSpPr>
        <xdr:cNvPr id="27" name="Group 26">
          <a:extLst>
            <a:ext uri="{FF2B5EF4-FFF2-40B4-BE49-F238E27FC236}">
              <a16:creationId xmlns:a16="http://schemas.microsoft.com/office/drawing/2014/main" id="{69FDB760-164F-9DBE-C91D-2E4229F1DD3B}"/>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DEE9DF86-8511-F676-8B3B-5D1D5BA87E46}"/>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0AC7E8C1-6635-B783-AE6A-142060392D9E}"/>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0133D51E-A6F2-DAB7-93E9-286AE197320E}"/>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DF480B67-8809-C923-D87C-4503BA22E8DE}"/>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22</xdr:row>
      <xdr:rowOff>170882</xdr:rowOff>
    </xdr:from>
    <xdr:to>
      <xdr:col>0</xdr:col>
      <xdr:colOff>1711471</xdr:colOff>
      <xdr:row>25</xdr:row>
      <xdr:rowOff>106909</xdr:rowOff>
    </xdr:to>
    <xdr:grpSp>
      <xdr:nvGrpSpPr>
        <xdr:cNvPr id="28" name="Group 27">
          <a:extLst>
            <a:ext uri="{FF2B5EF4-FFF2-40B4-BE49-F238E27FC236}">
              <a16:creationId xmlns:a16="http://schemas.microsoft.com/office/drawing/2014/main" id="{BC7E84C7-6EF2-8644-486B-A68473217844}"/>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7D690AD4-BCE4-EFF5-964E-E9457D2BD180}"/>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6188AFC5-B764-543B-5EC9-618C2789DBC2}"/>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B33D60E3-345C-30A5-EAFB-71B1C3E284D2}"/>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ABD6CC7A-DAE5-B95F-2048-AE007E2ABB75}"/>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12</xdr:row>
      <xdr:rowOff>309897</xdr:rowOff>
    </xdr:from>
    <xdr:to>
      <xdr:col>0</xdr:col>
      <xdr:colOff>1707169</xdr:colOff>
      <xdr:row>13</xdr:row>
      <xdr:rowOff>58716</xdr:rowOff>
    </xdr:to>
    <xdr:grpSp>
      <xdr:nvGrpSpPr>
        <xdr:cNvPr id="29" name="Group 28">
          <a:extLst>
            <a:ext uri="{FF2B5EF4-FFF2-40B4-BE49-F238E27FC236}">
              <a16:creationId xmlns:a16="http://schemas.microsoft.com/office/drawing/2014/main" id="{50295B47-C8D7-3210-5367-0A31B1CB2CA2}"/>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72C7AAAB-5C0E-B55C-EF01-66AA4A738A02}"/>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B10752A8-B6D6-1DF6-007D-1123328FF1E5}"/>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828E8318-8A47-5D40-0965-3B7822B2C7D8}"/>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5D0B7A7E-7F66-3E66-EDBA-F6741D2CE7F9}"/>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25</xdr:row>
      <xdr:rowOff>119454</xdr:rowOff>
    </xdr:from>
    <xdr:to>
      <xdr:col>0</xdr:col>
      <xdr:colOff>1711953</xdr:colOff>
      <xdr:row>28</xdr:row>
      <xdr:rowOff>55481</xdr:rowOff>
    </xdr:to>
    <xdr:grpSp>
      <xdr:nvGrpSpPr>
        <xdr:cNvPr id="32" name="Group 31">
          <a:extLst>
            <a:ext uri="{FF2B5EF4-FFF2-40B4-BE49-F238E27FC236}">
              <a16:creationId xmlns:a16="http://schemas.microsoft.com/office/drawing/2014/main" id="{7B0112C0-DD11-94F9-E302-FCF0DBDBAA53}"/>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0C1AEE7F-C663-862B-4DB2-4DBC9F468877}"/>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F9B5D4C3-252A-69AA-6C08-20BCB1B8F703}"/>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FD4C6054-B4B4-0274-0E02-6559568A588D}"/>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91876152-3548-B525-1122-08E1F83B9EBB}"/>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84C61E5E-B9BB-4479-A7FD-4AB3B4CB0E71}"/>
            </a:ext>
          </a:extLst>
        </xdr:cNvPr>
        <xdr:cNvGrpSpPr/>
      </xdr:nvGrpSpPr>
      <xdr:grpSpPr>
        <a:xfrm>
          <a:off x="101854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BB428407-7781-FA17-0C69-CC09A7053737}"/>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CF111DC5-1BA3-7917-D7F7-49984620C611}"/>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28</xdr:row>
      <xdr:rowOff>82550</xdr:rowOff>
    </xdr:from>
    <xdr:to>
      <xdr:col>0</xdr:col>
      <xdr:colOff>1713549</xdr:colOff>
      <xdr:row>40</xdr:row>
      <xdr:rowOff>98857</xdr:rowOff>
    </xdr:to>
    <xdr:grpSp>
      <xdr:nvGrpSpPr>
        <xdr:cNvPr id="163" name="Group 162">
          <a:extLst>
            <a:ext uri="{FF2B5EF4-FFF2-40B4-BE49-F238E27FC236}">
              <a16:creationId xmlns:a16="http://schemas.microsoft.com/office/drawing/2014/main" id="{A857F41A-FC72-4687-8BF4-A30111F9CEE5}"/>
            </a:ext>
          </a:extLst>
        </xdr:cNvPr>
        <xdr:cNvGrpSpPr/>
      </xdr:nvGrpSpPr>
      <xdr:grpSpPr>
        <a:xfrm>
          <a:off x="0" y="12452350"/>
          <a:ext cx="1713549" cy="2226107"/>
          <a:chOff x="5137727" y="13144500"/>
          <a:chExt cx="1713549" cy="2252946"/>
        </a:xfrm>
      </xdr:grpSpPr>
      <xdr:grpSp>
        <xdr:nvGrpSpPr>
          <xdr:cNvPr id="164" name="Group 163">
            <a:extLst>
              <a:ext uri="{FF2B5EF4-FFF2-40B4-BE49-F238E27FC236}">
                <a16:creationId xmlns:a16="http://schemas.microsoft.com/office/drawing/2014/main" id="{B9941CCA-A220-D6AE-A714-DB286B89A5DC}"/>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4610A624-884C-B875-9B07-6C035F23417E}"/>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D3D1BCC6-E13A-81BE-A624-FD7B5FEB6978}"/>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F039FDA0-79A4-66D3-7715-14031B3E2725}"/>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EDD19A35-15D8-845E-2AB9-727AD0CCE17F}"/>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0539D008-19C6-E2A8-2776-A77AC02E60E9}"/>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A9FA23CE-62CF-5361-0AA5-1C60C49F198A}"/>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BD56F94E-1152-61F6-1373-A37280A46B7B}"/>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92F121E5-6CB3-FD80-B50C-FC72ECE96746}"/>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265E8A6A-A8F4-5523-213F-ECE888801A3E}"/>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8DEC4379-2717-9821-6992-AD3F07214921}"/>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E82ABA55-7B95-5202-C54E-9788FEF651F4}"/>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C335DC11-F6F7-55C2-C9FD-298C3C9F917B}"/>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FFFC3B51-0146-7CFF-B181-101524B1015E}"/>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A36DFA11-0F9A-6549-DE24-36DF5A37371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B87BB4F3-AFEE-D044-5D11-DFD9D173C5FA}"/>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00EB13A5-90C6-63BD-5A4F-4C45777D4163}"/>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ECE00EE6-E1C4-0DC2-A3D8-A08A1C95B0E4}"/>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86338106-966E-3642-C6D9-D1EF41B8DBAC}"/>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82522E96-FC29-EB44-03D5-615B12F96715}"/>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FB2A5D77-4C87-EB30-B096-E797110EF948}"/>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44</xdr:row>
      <xdr:rowOff>88900</xdr:rowOff>
    </xdr:to>
    <xdr:sp macro="" textlink="">
      <xdr:nvSpPr>
        <xdr:cNvPr id="4" name="Rectangle: Rounded Corners 3">
          <a:extLst>
            <a:ext uri="{FF2B5EF4-FFF2-40B4-BE49-F238E27FC236}">
              <a16:creationId xmlns:a16="http://schemas.microsoft.com/office/drawing/2014/main" id="{92E78BC3-F6D8-8B25-4B14-D857F96C5814}"/>
            </a:ext>
          </a:extLst>
        </xdr:cNvPr>
        <xdr:cNvSpPr/>
      </xdr:nvSpPr>
      <xdr:spPr>
        <a:xfrm>
          <a:off x="0" y="0"/>
          <a:ext cx="1841776" cy="148526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87FF7B25-1E01-5ACE-E022-1EA1B61AAE9E}"/>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554B0857-BA7A-3E7D-2270-3210646BAF4A}"/>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0B7B615E-1AF7-4A66-92E0-528CCD122401}"/>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D06D35DB-3B0C-D8DE-F364-2CB75174EAC1}"/>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18DC6CDA-39DE-14DE-E617-723DA74AF1F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437424</xdr:rowOff>
    </xdr:to>
    <xdr:grpSp>
      <xdr:nvGrpSpPr>
        <xdr:cNvPr id="7" name="Group 6">
          <a:extLst>
            <a:ext uri="{FF2B5EF4-FFF2-40B4-BE49-F238E27FC236}">
              <a16:creationId xmlns:a16="http://schemas.microsoft.com/office/drawing/2014/main" id="{2D5E4234-881A-199B-FB20-3C4F770DED6A}"/>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3C754C1A-EBA5-9A5F-3018-E41D928926C6}"/>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E2DB36B2-DF5D-245D-5B85-0AA1616B803F}"/>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6C990B20-EBE5-19BD-CE8F-E0C73A02D9C6}"/>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230689</xdr:rowOff>
    </xdr:from>
    <xdr:to>
      <xdr:col>0</xdr:col>
      <xdr:colOff>1717958</xdr:colOff>
      <xdr:row>6</xdr:row>
      <xdr:rowOff>310201</xdr:rowOff>
    </xdr:to>
    <xdr:grpSp>
      <xdr:nvGrpSpPr>
        <xdr:cNvPr id="8" name="Group 7">
          <a:extLst>
            <a:ext uri="{FF2B5EF4-FFF2-40B4-BE49-F238E27FC236}">
              <a16:creationId xmlns:a16="http://schemas.microsoft.com/office/drawing/2014/main" id="{A4C1317D-0BDF-D225-9808-4F484A9EC0AD}"/>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D5901B66-5594-3C49-A87A-53E39624D3FD}"/>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D64C08BA-3CD6-A781-CFD8-40EB3976F415}"/>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01BA9BAD-B211-1819-2405-BFDDA21BE2AD}"/>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331852</xdr:rowOff>
    </xdr:from>
    <xdr:to>
      <xdr:col>0</xdr:col>
      <xdr:colOff>1715516</xdr:colOff>
      <xdr:row>8</xdr:row>
      <xdr:rowOff>41227</xdr:rowOff>
    </xdr:to>
    <xdr:grpSp>
      <xdr:nvGrpSpPr>
        <xdr:cNvPr id="9" name="Group 8">
          <a:extLst>
            <a:ext uri="{FF2B5EF4-FFF2-40B4-BE49-F238E27FC236}">
              <a16:creationId xmlns:a16="http://schemas.microsoft.com/office/drawing/2014/main" id="{B31953FF-FFC1-6F51-603F-720ECEDF8CFB}"/>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4E61AA4E-6032-FC80-5919-C95D103A5C78}"/>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45291188-8F5C-E9F8-C573-394B1E1E64A4}"/>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5D34D609-9710-6A9B-A271-D251264A2DBF}"/>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8</xdr:row>
      <xdr:rowOff>55506</xdr:rowOff>
    </xdr:from>
    <xdr:to>
      <xdr:col>0</xdr:col>
      <xdr:colOff>1713076</xdr:colOff>
      <xdr:row>9</xdr:row>
      <xdr:rowOff>146052</xdr:rowOff>
    </xdr:to>
    <xdr:grpSp>
      <xdr:nvGrpSpPr>
        <xdr:cNvPr id="10" name="Group 9">
          <a:extLst>
            <a:ext uri="{FF2B5EF4-FFF2-40B4-BE49-F238E27FC236}">
              <a16:creationId xmlns:a16="http://schemas.microsoft.com/office/drawing/2014/main" id="{D166D068-D839-07E9-2870-9FFC8717C0EA}"/>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F93AB71C-4F33-7232-25A2-3D66DF9CB5FE}"/>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8114E2F0-A935-A0DE-9514-2E07776B3883}"/>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F83B44F5-DF7A-C77A-18F1-BAA6C002BB43}"/>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76A2A76C-170F-503D-43A7-31AFFA050748}"/>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459725</xdr:rowOff>
    </xdr:from>
    <xdr:to>
      <xdr:col>0</xdr:col>
      <xdr:colOff>1716667</xdr:colOff>
      <xdr:row>5</xdr:row>
      <xdr:rowOff>210064</xdr:rowOff>
    </xdr:to>
    <xdr:grpSp>
      <xdr:nvGrpSpPr>
        <xdr:cNvPr id="11" name="Group 10">
          <a:extLst>
            <a:ext uri="{FF2B5EF4-FFF2-40B4-BE49-F238E27FC236}">
              <a16:creationId xmlns:a16="http://schemas.microsoft.com/office/drawing/2014/main" id="{0C2D6FA3-E85B-46F6-4C34-A1806D8103D4}"/>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B0849623-554D-2209-FC60-348223CFF0B9}"/>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F335AD49-E286-8340-418F-AE33EAF2FBFD}"/>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87109865-8DEC-336B-4793-B33DB09DCAB5}"/>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9</xdr:row>
      <xdr:rowOff>159236</xdr:rowOff>
    </xdr:from>
    <xdr:to>
      <xdr:col>0</xdr:col>
      <xdr:colOff>1713094</xdr:colOff>
      <xdr:row>9</xdr:row>
      <xdr:rowOff>642755</xdr:rowOff>
    </xdr:to>
    <xdr:grpSp>
      <xdr:nvGrpSpPr>
        <xdr:cNvPr id="12" name="Group 11">
          <a:extLst>
            <a:ext uri="{FF2B5EF4-FFF2-40B4-BE49-F238E27FC236}">
              <a16:creationId xmlns:a16="http://schemas.microsoft.com/office/drawing/2014/main" id="{1FCF259D-D087-734F-0A1B-94F38E89DA04}"/>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55F82DC3-5ED9-DA29-7B0F-3F154C462FD6}"/>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2C4AF684-1BE2-A3AA-FFA7-FC5CF580AF8E}"/>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666E1F6A-4DA1-9FED-3A30-CABB345EB4E5}"/>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ABC0720C-1352-F85A-51B5-58D9717E88C4}"/>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9</xdr:row>
      <xdr:rowOff>655553</xdr:rowOff>
    </xdr:from>
    <xdr:to>
      <xdr:col>0</xdr:col>
      <xdr:colOff>1713246</xdr:colOff>
      <xdr:row>10</xdr:row>
      <xdr:rowOff>380760</xdr:rowOff>
    </xdr:to>
    <xdr:grpSp>
      <xdr:nvGrpSpPr>
        <xdr:cNvPr id="13" name="Group 12">
          <a:extLst>
            <a:ext uri="{FF2B5EF4-FFF2-40B4-BE49-F238E27FC236}">
              <a16:creationId xmlns:a16="http://schemas.microsoft.com/office/drawing/2014/main" id="{A60AD8CF-780B-34E2-172D-D41AF71B04FA}"/>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BF3F1FD3-C0C7-5DD9-F5D0-4FC8D5339007}"/>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9EC2A76D-E21C-8E25-C41D-5ED956AF0E8B}"/>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6753E73A-419F-B0A9-489C-3C40B4BCF309}"/>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49195699-8023-FE24-44B5-F6EBF9A6325C}"/>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10</xdr:row>
      <xdr:rowOff>397990</xdr:rowOff>
    </xdr:from>
    <xdr:to>
      <xdr:col>0</xdr:col>
      <xdr:colOff>1709917</xdr:colOff>
      <xdr:row>11</xdr:row>
      <xdr:rowOff>340158</xdr:rowOff>
    </xdr:to>
    <xdr:grpSp>
      <xdr:nvGrpSpPr>
        <xdr:cNvPr id="14" name="Group 13">
          <a:extLst>
            <a:ext uri="{FF2B5EF4-FFF2-40B4-BE49-F238E27FC236}">
              <a16:creationId xmlns:a16="http://schemas.microsoft.com/office/drawing/2014/main" id="{8637041D-646E-9A86-173B-D6F25FA1FD63}"/>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F8998A9E-D417-12DF-FB4D-DD9D0A6A50D4}"/>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A4591825-9539-794B-19A5-8B02366EB8BE}"/>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0BEC6BFB-769D-407E-C0C0-D68EE3274950}"/>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710B23E6-9292-B079-73E2-9861EF5E7721}"/>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11</xdr:row>
      <xdr:rowOff>362497</xdr:rowOff>
    </xdr:from>
    <xdr:to>
      <xdr:col>0</xdr:col>
      <xdr:colOff>1709302</xdr:colOff>
      <xdr:row>13</xdr:row>
      <xdr:rowOff>82231</xdr:rowOff>
    </xdr:to>
    <xdr:grpSp>
      <xdr:nvGrpSpPr>
        <xdr:cNvPr id="15" name="Group 14">
          <a:extLst>
            <a:ext uri="{FF2B5EF4-FFF2-40B4-BE49-F238E27FC236}">
              <a16:creationId xmlns:a16="http://schemas.microsoft.com/office/drawing/2014/main" id="{323574F4-00D3-5DC9-F106-3CE3688B4C3F}"/>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235A6AC0-BEF7-110E-5767-B20EDF613654}"/>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57C4A2B4-5A85-0DD0-3DB4-497E536B8FD1}"/>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1D3175FE-83CF-CBCC-5369-FCCCD672AD64}"/>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CF553CD7-EF63-104B-F0AD-10717F363AC2}"/>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13</xdr:row>
      <xdr:rowOff>101148</xdr:rowOff>
    </xdr:from>
    <xdr:to>
      <xdr:col>0</xdr:col>
      <xdr:colOff>1709298</xdr:colOff>
      <xdr:row>14</xdr:row>
      <xdr:rowOff>222194</xdr:rowOff>
    </xdr:to>
    <xdr:grpSp>
      <xdr:nvGrpSpPr>
        <xdr:cNvPr id="16" name="Group 15">
          <a:extLst>
            <a:ext uri="{FF2B5EF4-FFF2-40B4-BE49-F238E27FC236}">
              <a16:creationId xmlns:a16="http://schemas.microsoft.com/office/drawing/2014/main" id="{38BEA467-5202-89F5-933E-3BE0C331F551}"/>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4B282190-5663-2193-8033-84FC9271FACE}"/>
              </a:ext>
            </a:extLst>
          </xdr:cNvPr>
          <xdr:cNvSpPr/>
        </xdr:nvSpPr>
        <xdr:spPr>
          <a:xfrm>
            <a:off x="2215" y="5440651"/>
            <a:ext cx="1709047" cy="479797"/>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AE92B4F8-9736-2F44-E17E-73F223CA2668}"/>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100" name="Oval 99">
            <a:extLst>
              <a:ext uri="{FF2B5EF4-FFF2-40B4-BE49-F238E27FC236}">
                <a16:creationId xmlns:a16="http://schemas.microsoft.com/office/drawing/2014/main" id="{E0439F2C-8A10-F5EB-8CC3-BAFCA2C33522}"/>
              </a:ext>
            </a:extLst>
          </xdr:cNvPr>
          <xdr:cNvSpPr/>
        </xdr:nvSpPr>
        <xdr:spPr>
          <a:xfrm>
            <a:off x="96801" y="5523126"/>
            <a:ext cx="286142" cy="313272"/>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B561DF72-6AD4-B5C1-17B1-B5E016CB2DD3}"/>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bg1"/>
                </a:solidFill>
              </a:rPr>
              <a:t>SHC</a:t>
            </a:r>
          </a:p>
        </xdr:txBody>
      </xdr:sp>
    </xdr:grpSp>
    <xdr:clientData/>
  </xdr:twoCellAnchor>
  <xdr:twoCellAnchor>
    <xdr:from>
      <xdr:col>0</xdr:col>
      <xdr:colOff>2127</xdr:colOff>
      <xdr:row>14</xdr:row>
      <xdr:rowOff>240049</xdr:rowOff>
    </xdr:from>
    <xdr:to>
      <xdr:col>0</xdr:col>
      <xdr:colOff>1709296</xdr:colOff>
      <xdr:row>15</xdr:row>
      <xdr:rowOff>366367</xdr:rowOff>
    </xdr:to>
    <xdr:grpSp>
      <xdr:nvGrpSpPr>
        <xdr:cNvPr id="17" name="Group 16">
          <a:extLst>
            <a:ext uri="{FF2B5EF4-FFF2-40B4-BE49-F238E27FC236}">
              <a16:creationId xmlns:a16="http://schemas.microsoft.com/office/drawing/2014/main" id="{A04FC8F7-1E7A-B501-A545-9705F58EE3DB}"/>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3A692FA7-5DE7-D48B-B417-FFCE9E8B2E63}"/>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F0254ECE-978A-1E20-BE0B-6107E19223FE}"/>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2F342AE9-DE43-46E2-FF43-92002E3001E8}"/>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5D93AD0B-AE7D-F411-7A9A-7320D2F02FCD}"/>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15</xdr:row>
      <xdr:rowOff>386157</xdr:rowOff>
    </xdr:from>
    <xdr:to>
      <xdr:col>0</xdr:col>
      <xdr:colOff>1708011</xdr:colOff>
      <xdr:row>16</xdr:row>
      <xdr:rowOff>106681</xdr:rowOff>
    </xdr:to>
    <xdr:grpSp>
      <xdr:nvGrpSpPr>
        <xdr:cNvPr id="18" name="Group 17">
          <a:extLst>
            <a:ext uri="{FF2B5EF4-FFF2-40B4-BE49-F238E27FC236}">
              <a16:creationId xmlns:a16="http://schemas.microsoft.com/office/drawing/2014/main" id="{95B9D989-461E-9C78-A322-0D5E046EBB67}"/>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7D6DA6C1-B41C-EB1E-41FA-7837B26508A8}"/>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4A42C7F8-524C-26F5-B964-190B4936726E}"/>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77512CE1-B6E6-02A7-003E-D1EE0B446856}"/>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91A51C34-6C5E-2BF3-48D7-225FD9A003BD}"/>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17</xdr:row>
      <xdr:rowOff>266343</xdr:rowOff>
    </xdr:from>
    <xdr:to>
      <xdr:col>0</xdr:col>
      <xdr:colOff>1708946</xdr:colOff>
      <xdr:row>18</xdr:row>
      <xdr:rowOff>363286</xdr:rowOff>
    </xdr:to>
    <xdr:grpSp>
      <xdr:nvGrpSpPr>
        <xdr:cNvPr id="19" name="Group 18">
          <a:extLst>
            <a:ext uri="{FF2B5EF4-FFF2-40B4-BE49-F238E27FC236}">
              <a16:creationId xmlns:a16="http://schemas.microsoft.com/office/drawing/2014/main" id="{C17DC3E2-5A66-642E-4F30-E61F2A2217A7}"/>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8CA189F3-444F-53EB-2090-DD50479877FE}"/>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FFC97B68-B544-0EBB-2682-E0124F8FD0C0}"/>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258B1F43-A051-C0A9-E2A6-D0E264B475BA}"/>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E21379E9-30BA-AEC7-7F43-B94A5ED36F25}"/>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18</xdr:row>
      <xdr:rowOff>390834</xdr:rowOff>
    </xdr:from>
    <xdr:to>
      <xdr:col>0</xdr:col>
      <xdr:colOff>1710873</xdr:colOff>
      <xdr:row>19</xdr:row>
      <xdr:rowOff>326829</xdr:rowOff>
    </xdr:to>
    <xdr:grpSp>
      <xdr:nvGrpSpPr>
        <xdr:cNvPr id="20" name="Group 19">
          <a:extLst>
            <a:ext uri="{FF2B5EF4-FFF2-40B4-BE49-F238E27FC236}">
              <a16:creationId xmlns:a16="http://schemas.microsoft.com/office/drawing/2014/main" id="{EBA3D409-E1F2-412A-E79D-4FE65AD1AEEB}"/>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AB13B169-C17B-F669-9E01-C286B50A51D1}"/>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BAE541DD-8CEF-9AB6-91CF-909EC2ACDF13}"/>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B70F51DA-C234-FB2F-909B-BB3286ED27AE}"/>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3820519D-7F80-9DF1-752A-A58869AF9728}"/>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19</xdr:row>
      <xdr:rowOff>350935</xdr:rowOff>
    </xdr:from>
    <xdr:to>
      <xdr:col>0</xdr:col>
      <xdr:colOff>1712157</xdr:colOff>
      <xdr:row>21</xdr:row>
      <xdr:rowOff>77067</xdr:rowOff>
    </xdr:to>
    <xdr:grpSp>
      <xdr:nvGrpSpPr>
        <xdr:cNvPr id="21" name="Group 20">
          <a:extLst>
            <a:ext uri="{FF2B5EF4-FFF2-40B4-BE49-F238E27FC236}">
              <a16:creationId xmlns:a16="http://schemas.microsoft.com/office/drawing/2014/main" id="{58903D35-0468-0ABE-4682-6902EDA9BD4A}"/>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61FB53EB-1442-BE54-10DE-EBD2B6535E80}"/>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5CC239DC-9081-67E4-8BFA-0B0532CF6A48}"/>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4BC6B9A8-58C4-1161-0D35-E21154AE4B16}"/>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C86C5487-329C-B0E0-EFEB-A9A9819E4ECD}"/>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21</xdr:row>
      <xdr:rowOff>89855</xdr:rowOff>
    </xdr:from>
    <xdr:to>
      <xdr:col>0</xdr:col>
      <xdr:colOff>1713207</xdr:colOff>
      <xdr:row>22</xdr:row>
      <xdr:rowOff>209432</xdr:rowOff>
    </xdr:to>
    <xdr:grpSp>
      <xdr:nvGrpSpPr>
        <xdr:cNvPr id="22" name="Group 21">
          <a:extLst>
            <a:ext uri="{FF2B5EF4-FFF2-40B4-BE49-F238E27FC236}">
              <a16:creationId xmlns:a16="http://schemas.microsoft.com/office/drawing/2014/main" id="{B9A7116B-3088-2346-8F39-F3786934E0D4}"/>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2DBFA7B6-4AF1-574E-DEE8-1383CD13EC03}"/>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56615BCD-BC55-CD86-F480-BA90C849BBE7}"/>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60ACF86A-6CE4-7536-904E-296ED1D0B94D}"/>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8909B7F1-1807-A63B-176A-45E1088A7C44}"/>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23</xdr:row>
      <xdr:rowOff>366340</xdr:rowOff>
    </xdr:from>
    <xdr:to>
      <xdr:col>0</xdr:col>
      <xdr:colOff>1711774</xdr:colOff>
      <xdr:row>24</xdr:row>
      <xdr:rowOff>464553</xdr:rowOff>
    </xdr:to>
    <xdr:grpSp>
      <xdr:nvGrpSpPr>
        <xdr:cNvPr id="23" name="Group 22">
          <a:extLst>
            <a:ext uri="{FF2B5EF4-FFF2-40B4-BE49-F238E27FC236}">
              <a16:creationId xmlns:a16="http://schemas.microsoft.com/office/drawing/2014/main" id="{8C22B661-0434-8ED2-17C8-F7486591A717}"/>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EBDF5038-3934-8EBE-5FAE-AFDB37F27485}"/>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26493140-A41D-2A78-6DD0-1B9A4610E03A}"/>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A3914926-CB29-64CE-CD72-5FD915A27194}"/>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7453CF67-0451-22CA-2216-4D7A56061B27}"/>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22</xdr:row>
      <xdr:rowOff>227415</xdr:rowOff>
    </xdr:from>
    <xdr:to>
      <xdr:col>0</xdr:col>
      <xdr:colOff>1712537</xdr:colOff>
      <xdr:row>23</xdr:row>
      <xdr:rowOff>342061</xdr:rowOff>
    </xdr:to>
    <xdr:grpSp>
      <xdr:nvGrpSpPr>
        <xdr:cNvPr id="24" name="Group 23">
          <a:extLst>
            <a:ext uri="{FF2B5EF4-FFF2-40B4-BE49-F238E27FC236}">
              <a16:creationId xmlns:a16="http://schemas.microsoft.com/office/drawing/2014/main" id="{D9706673-196B-CF14-5169-01BFBC662EFC}"/>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A264532C-23A2-09D6-60A8-E6E98C3FB3F3}"/>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07C54DAF-7218-8EE1-373E-792BD6344559}"/>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E347DF75-87F3-8121-BEAC-7B4482353816}"/>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3A2FFEC7-B2AC-08A9-3009-8BE901539310}"/>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24</xdr:row>
      <xdr:rowOff>472952</xdr:rowOff>
    </xdr:from>
    <xdr:to>
      <xdr:col>0</xdr:col>
      <xdr:colOff>1711005</xdr:colOff>
      <xdr:row>25</xdr:row>
      <xdr:rowOff>231599</xdr:rowOff>
    </xdr:to>
    <xdr:grpSp>
      <xdr:nvGrpSpPr>
        <xdr:cNvPr id="25" name="Group 24">
          <a:extLst>
            <a:ext uri="{FF2B5EF4-FFF2-40B4-BE49-F238E27FC236}">
              <a16:creationId xmlns:a16="http://schemas.microsoft.com/office/drawing/2014/main" id="{0CABCA03-F399-7364-D2CF-DAC258D3DB10}"/>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A0DE966E-8E76-A527-2CCF-1D581FBDCD0A}"/>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BCF2F798-F30A-73A6-64DE-B5FCA9F596D4}"/>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B5C343A5-F925-222A-BD22-7E2E3FBDDE9A}"/>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CF98F48C-FF18-19D8-3188-FCE0A5706DEF}"/>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25</xdr:row>
      <xdr:rowOff>248916</xdr:rowOff>
    </xdr:from>
    <xdr:to>
      <xdr:col>0</xdr:col>
      <xdr:colOff>1712668</xdr:colOff>
      <xdr:row>25</xdr:row>
      <xdr:rowOff>704494</xdr:rowOff>
    </xdr:to>
    <xdr:grpSp>
      <xdr:nvGrpSpPr>
        <xdr:cNvPr id="27" name="Group 26">
          <a:extLst>
            <a:ext uri="{FF2B5EF4-FFF2-40B4-BE49-F238E27FC236}">
              <a16:creationId xmlns:a16="http://schemas.microsoft.com/office/drawing/2014/main" id="{4C5ABF16-8342-42E6-D642-433F46BD35D1}"/>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F895AB64-5FCE-F85D-392E-9720D5344F4E}"/>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C1651DC4-7C82-0555-9953-E31391CDC3EF}"/>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E270B4B2-027A-5128-4A87-57BC14C574BA}"/>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6870D006-8A4E-12D9-D52F-F6603AA8C380}"/>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25</xdr:row>
      <xdr:rowOff>723332</xdr:rowOff>
    </xdr:from>
    <xdr:to>
      <xdr:col>0</xdr:col>
      <xdr:colOff>1711471</xdr:colOff>
      <xdr:row>28</xdr:row>
      <xdr:rowOff>106909</xdr:rowOff>
    </xdr:to>
    <xdr:grpSp>
      <xdr:nvGrpSpPr>
        <xdr:cNvPr id="28" name="Group 27">
          <a:extLst>
            <a:ext uri="{FF2B5EF4-FFF2-40B4-BE49-F238E27FC236}">
              <a16:creationId xmlns:a16="http://schemas.microsoft.com/office/drawing/2014/main" id="{8928425F-1994-BFF4-FDA9-460C3FD2C7E9}"/>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56C6B2D6-4411-4850-C042-E9D6A159FF56}"/>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5E8A4F7F-D596-D85D-C998-1D72173644CF}"/>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B027DBE0-0CAC-B356-8CED-867BA060288D}"/>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9043B412-CC3E-83C5-55D0-9310F4C7442E}"/>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16</xdr:row>
      <xdr:rowOff>125747</xdr:rowOff>
    </xdr:from>
    <xdr:to>
      <xdr:col>0</xdr:col>
      <xdr:colOff>1707169</xdr:colOff>
      <xdr:row>17</xdr:row>
      <xdr:rowOff>242866</xdr:rowOff>
    </xdr:to>
    <xdr:grpSp>
      <xdr:nvGrpSpPr>
        <xdr:cNvPr id="29" name="Group 28">
          <a:extLst>
            <a:ext uri="{FF2B5EF4-FFF2-40B4-BE49-F238E27FC236}">
              <a16:creationId xmlns:a16="http://schemas.microsoft.com/office/drawing/2014/main" id="{58D1F8F0-7D6F-EE85-C3F7-8CD8FD0DF1E5}"/>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1BDFC644-E6DA-2976-EF0C-20F6C498FBCC}"/>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CCE873E5-CE05-EA8D-D2F3-A1EC5F08F79A}"/>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F1026620-3488-1822-EB9D-5D38BF992175}"/>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47B32A79-1FE4-32CF-592C-9AA4E7E8B3A7}"/>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28</xdr:row>
      <xdr:rowOff>119454</xdr:rowOff>
    </xdr:from>
    <xdr:to>
      <xdr:col>0</xdr:col>
      <xdr:colOff>1711953</xdr:colOff>
      <xdr:row>31</xdr:row>
      <xdr:rowOff>55481</xdr:rowOff>
    </xdr:to>
    <xdr:grpSp>
      <xdr:nvGrpSpPr>
        <xdr:cNvPr id="32" name="Group 31">
          <a:extLst>
            <a:ext uri="{FF2B5EF4-FFF2-40B4-BE49-F238E27FC236}">
              <a16:creationId xmlns:a16="http://schemas.microsoft.com/office/drawing/2014/main" id="{06281F7B-536E-39BB-4742-5E338AD4FEA9}"/>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E89C4682-5528-5526-051F-C95A5B06F89F}"/>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462A0778-9D8C-9B15-0FFD-FF665FD53708}"/>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FBA2CA1C-2CC9-69C4-8757-11F4BA29C53C}"/>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92EB0B3E-3F17-E7CF-93D5-1C3BE91D07F0}"/>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1367D869-E942-4DFD-BF50-871553E32201}"/>
            </a:ext>
          </a:extLst>
        </xdr:cNvPr>
        <xdr:cNvGrpSpPr/>
      </xdr:nvGrpSpPr>
      <xdr:grpSpPr>
        <a:xfrm>
          <a:off x="969645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CA07987C-3B29-20AB-08A0-53FCE0B4803F}"/>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F8D4F5BB-FBFC-0F63-7016-A0C51C9C5419}"/>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31</xdr:row>
      <xdr:rowOff>82550</xdr:rowOff>
    </xdr:from>
    <xdr:to>
      <xdr:col>0</xdr:col>
      <xdr:colOff>1713549</xdr:colOff>
      <xdr:row>43</xdr:row>
      <xdr:rowOff>98857</xdr:rowOff>
    </xdr:to>
    <xdr:grpSp>
      <xdr:nvGrpSpPr>
        <xdr:cNvPr id="163" name="Group 162">
          <a:extLst>
            <a:ext uri="{FF2B5EF4-FFF2-40B4-BE49-F238E27FC236}">
              <a16:creationId xmlns:a16="http://schemas.microsoft.com/office/drawing/2014/main" id="{13D81D20-2F73-416E-9754-0C1A0C65828C}"/>
            </a:ext>
          </a:extLst>
        </xdr:cNvPr>
        <xdr:cNvGrpSpPr/>
      </xdr:nvGrpSpPr>
      <xdr:grpSpPr>
        <a:xfrm>
          <a:off x="0" y="12452350"/>
          <a:ext cx="1713549" cy="2226107"/>
          <a:chOff x="5137727" y="13144500"/>
          <a:chExt cx="1713549" cy="2252946"/>
        </a:xfrm>
      </xdr:grpSpPr>
      <xdr:grpSp>
        <xdr:nvGrpSpPr>
          <xdr:cNvPr id="164" name="Group 163">
            <a:extLst>
              <a:ext uri="{FF2B5EF4-FFF2-40B4-BE49-F238E27FC236}">
                <a16:creationId xmlns:a16="http://schemas.microsoft.com/office/drawing/2014/main" id="{C2B928F2-1002-8892-764A-CE96A0F7B92F}"/>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045F64E3-54A8-60F2-68B3-73A15916701B}"/>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B204AAAE-D3E2-E8D8-C045-614F8BB177BB}"/>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80DCEC21-F410-9BA7-F8AA-D1E282ADCC32}"/>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03EA3EE8-B12C-6AEC-8B5D-35373824327D}"/>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DF45CF1D-2D45-9714-BAED-E2B0656C52B6}"/>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4EC306F9-435F-F219-ABF0-B8472D0E6D01}"/>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7BC81230-B03B-FCF9-DE9C-890C6C5A3FC0}"/>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1C334D53-C98C-13BE-2CA1-711085D83CFC}"/>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440B9A5C-9911-195A-2567-FC3DA67E8C68}"/>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0791563D-05D6-FDC1-FBC7-CFC4F1C3485F}"/>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4398DAC3-B085-A623-5BBD-EC6E594BBE32}"/>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50A85AAB-3BA4-1A3A-102B-416078D098B7}"/>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A51209ED-F555-6DE6-0614-D0DCB1C6EB83}"/>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C9834D56-6DB3-499D-880B-73F84E4F451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839F54D0-ED2B-7DF6-759B-71D2F3F3BE4D}"/>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E1303C0D-0F64-0D0E-8EDB-FD05F846420A}"/>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805542CC-D388-E001-3459-FF3EDF170D56}"/>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C6450B22-192F-540F-4E77-F35DFB63D98D}"/>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8A094570-CAF9-0806-98DD-B2454F397046}"/>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78145089-EE40-FA3E-EECE-42848FBA80CB}"/>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26</xdr:row>
      <xdr:rowOff>317500</xdr:rowOff>
    </xdr:to>
    <xdr:sp macro="" textlink="">
      <xdr:nvSpPr>
        <xdr:cNvPr id="4" name="Rectangle: Rounded Corners 3">
          <a:extLst>
            <a:ext uri="{FF2B5EF4-FFF2-40B4-BE49-F238E27FC236}">
              <a16:creationId xmlns:a16="http://schemas.microsoft.com/office/drawing/2014/main" id="{9D008258-1884-07B2-6A4F-643ABB03D085}"/>
            </a:ext>
          </a:extLst>
        </xdr:cNvPr>
        <xdr:cNvSpPr/>
      </xdr:nvSpPr>
      <xdr:spPr>
        <a:xfrm>
          <a:off x="0" y="0"/>
          <a:ext cx="1841776" cy="148971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88BAD3B2-E647-1E61-9ED4-861425BE4EE3}"/>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F19B064F-D883-7C11-5233-01BC79E12B23}"/>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AB37BA22-7014-4C00-B73A-A2514545DA6F}"/>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0C0569D1-753F-F31B-D3CF-C2DB81F488E9}"/>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AF64E91E-4D51-7298-99CB-2F156F81216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53AAE13F-1DAF-68BA-A0FB-9D58C66E2165}"/>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67076D74-8963-057A-911D-249F43A208A7}"/>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16A9EAE4-A9B5-F161-DB47-E7295039398D}"/>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4C7E99AB-E227-7F6A-CF61-9E8E325CE3F2}"/>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230689</xdr:rowOff>
    </xdr:from>
    <xdr:to>
      <xdr:col>0</xdr:col>
      <xdr:colOff>1717958</xdr:colOff>
      <xdr:row>6</xdr:row>
      <xdr:rowOff>126051</xdr:rowOff>
    </xdr:to>
    <xdr:grpSp>
      <xdr:nvGrpSpPr>
        <xdr:cNvPr id="8" name="Group 7">
          <a:extLst>
            <a:ext uri="{FF2B5EF4-FFF2-40B4-BE49-F238E27FC236}">
              <a16:creationId xmlns:a16="http://schemas.microsoft.com/office/drawing/2014/main" id="{6279B814-749B-919E-219E-0C0901BA745A}"/>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E9DF1F58-2872-D699-93AD-0C6519003344}"/>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470734D3-7F9D-81E9-1771-B2A37F1287CE}"/>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07FFC535-C688-0437-B612-727834387378}"/>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147702</xdr:rowOff>
    </xdr:from>
    <xdr:to>
      <xdr:col>0</xdr:col>
      <xdr:colOff>1715516</xdr:colOff>
      <xdr:row>6</xdr:row>
      <xdr:rowOff>593677</xdr:rowOff>
    </xdr:to>
    <xdr:grpSp>
      <xdr:nvGrpSpPr>
        <xdr:cNvPr id="9" name="Group 8">
          <a:extLst>
            <a:ext uri="{FF2B5EF4-FFF2-40B4-BE49-F238E27FC236}">
              <a16:creationId xmlns:a16="http://schemas.microsoft.com/office/drawing/2014/main" id="{325D907A-ABDA-1F10-DA7E-360F6B8E628E}"/>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AAE66AD2-A417-5736-F393-BEC668B4F5F2}"/>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F168C4F5-9370-8694-8885-6448B7D8FAC3}"/>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49EF184F-FC65-3B08-A097-38729EA32ACF}"/>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607956</xdr:rowOff>
    </xdr:from>
    <xdr:to>
      <xdr:col>0</xdr:col>
      <xdr:colOff>1713076</xdr:colOff>
      <xdr:row>7</xdr:row>
      <xdr:rowOff>146052</xdr:rowOff>
    </xdr:to>
    <xdr:grpSp>
      <xdr:nvGrpSpPr>
        <xdr:cNvPr id="10" name="Group 9">
          <a:extLst>
            <a:ext uri="{FF2B5EF4-FFF2-40B4-BE49-F238E27FC236}">
              <a16:creationId xmlns:a16="http://schemas.microsoft.com/office/drawing/2014/main" id="{63607085-9490-AAD9-2610-8586C9F29C6F}"/>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78F837BA-B53F-1C5C-9CAF-E2B09D00EF7A}"/>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5A14C5A7-D431-DE31-F3A4-EBA57A5DA453}"/>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F7354ADE-806F-A02D-4B03-1BFE5159AC65}"/>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53723CF1-5ACA-B9DB-C48E-956DCE7ECD29}"/>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210064</xdr:rowOff>
    </xdr:to>
    <xdr:grpSp>
      <xdr:nvGrpSpPr>
        <xdr:cNvPr id="11" name="Group 10">
          <a:extLst>
            <a:ext uri="{FF2B5EF4-FFF2-40B4-BE49-F238E27FC236}">
              <a16:creationId xmlns:a16="http://schemas.microsoft.com/office/drawing/2014/main" id="{E3B958A7-2364-B9BC-60CE-715BDCA46DF6}"/>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6D0C3730-C456-45D7-DA72-5E3AC1B031B9}"/>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A0878B77-0534-6C6C-EB01-3C37B9D94A4B}"/>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EB21D490-2460-966E-C839-34825D3B15FF}"/>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159236</xdr:rowOff>
    </xdr:from>
    <xdr:to>
      <xdr:col>0</xdr:col>
      <xdr:colOff>1713094</xdr:colOff>
      <xdr:row>8</xdr:row>
      <xdr:rowOff>90305</xdr:rowOff>
    </xdr:to>
    <xdr:grpSp>
      <xdr:nvGrpSpPr>
        <xdr:cNvPr id="12" name="Group 11">
          <a:extLst>
            <a:ext uri="{FF2B5EF4-FFF2-40B4-BE49-F238E27FC236}">
              <a16:creationId xmlns:a16="http://schemas.microsoft.com/office/drawing/2014/main" id="{C13603D0-C6A2-E7B6-F0DB-181FFD72588B}"/>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18B03BE4-1F45-A16B-6C2D-B098AD798B9F}"/>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B6B2FE94-72FD-190C-6803-F26ECF0230A9}"/>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13EEC821-3C59-3006-7929-402A63F9828C}"/>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609FFE87-3FA4-189A-2473-39994F883644}"/>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103103</xdr:rowOff>
    </xdr:from>
    <xdr:to>
      <xdr:col>0</xdr:col>
      <xdr:colOff>1713246</xdr:colOff>
      <xdr:row>9</xdr:row>
      <xdr:rowOff>12460</xdr:rowOff>
    </xdr:to>
    <xdr:grpSp>
      <xdr:nvGrpSpPr>
        <xdr:cNvPr id="13" name="Group 12">
          <a:extLst>
            <a:ext uri="{FF2B5EF4-FFF2-40B4-BE49-F238E27FC236}">
              <a16:creationId xmlns:a16="http://schemas.microsoft.com/office/drawing/2014/main" id="{9DCC8D50-5EF5-16D4-7F88-4A942C656171}"/>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AE870FE2-FC00-1354-EE74-38FCA6666192}"/>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01EF44B0-23E4-D3F4-B329-50AFEB8AB041}"/>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87D93BA0-EBC6-066F-65FB-726A04E2348A}"/>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DD10DECF-C43F-436A-41CF-6A120005DF4E}"/>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9</xdr:row>
      <xdr:rowOff>29690</xdr:rowOff>
    </xdr:from>
    <xdr:to>
      <xdr:col>0</xdr:col>
      <xdr:colOff>1709917</xdr:colOff>
      <xdr:row>9</xdr:row>
      <xdr:rowOff>524308</xdr:rowOff>
    </xdr:to>
    <xdr:grpSp>
      <xdr:nvGrpSpPr>
        <xdr:cNvPr id="14" name="Group 13">
          <a:extLst>
            <a:ext uri="{FF2B5EF4-FFF2-40B4-BE49-F238E27FC236}">
              <a16:creationId xmlns:a16="http://schemas.microsoft.com/office/drawing/2014/main" id="{7207ED35-7FAC-3D30-43DA-63198DEE8486}"/>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C35956B6-F297-857C-8B4A-549FDFBF449F}"/>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7DF8B269-DC62-CD45-8C57-A84C78A63A06}"/>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FA1ACCCF-BBCE-9B06-7235-646153DAF478}"/>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5A3A9A41-6F7E-F7DF-15FC-B22F72BC6917}"/>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546647</xdr:rowOff>
    </xdr:from>
    <xdr:to>
      <xdr:col>0</xdr:col>
      <xdr:colOff>1709302</xdr:colOff>
      <xdr:row>10</xdr:row>
      <xdr:rowOff>450531</xdr:rowOff>
    </xdr:to>
    <xdr:grpSp>
      <xdr:nvGrpSpPr>
        <xdr:cNvPr id="15" name="Group 14">
          <a:extLst>
            <a:ext uri="{FF2B5EF4-FFF2-40B4-BE49-F238E27FC236}">
              <a16:creationId xmlns:a16="http://schemas.microsoft.com/office/drawing/2014/main" id="{54CD6FE8-900E-F6FC-4838-68A706473295}"/>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0B2F2299-4DD6-A2E5-0E38-DAE14A6397AE}"/>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8CEF9770-4A8E-74CD-F17D-99932A2D66E4}"/>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6DD53E7A-BDD7-5900-79B7-39718C31C156}"/>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DEFD9C7F-DE4E-385B-0252-9B544B7D388B}"/>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10</xdr:row>
      <xdr:rowOff>469448</xdr:rowOff>
    </xdr:from>
    <xdr:to>
      <xdr:col>0</xdr:col>
      <xdr:colOff>1709298</xdr:colOff>
      <xdr:row>11</xdr:row>
      <xdr:rowOff>406344</xdr:rowOff>
    </xdr:to>
    <xdr:grpSp>
      <xdr:nvGrpSpPr>
        <xdr:cNvPr id="16" name="Group 15">
          <a:extLst>
            <a:ext uri="{FF2B5EF4-FFF2-40B4-BE49-F238E27FC236}">
              <a16:creationId xmlns:a16="http://schemas.microsoft.com/office/drawing/2014/main" id="{EB75D48B-00F4-AC08-15CE-EA28D4ADAB58}"/>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5CCD6690-4F8B-EA1D-BCB7-F1AD1CFF4EE1}"/>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5C3BC435-89A0-4FA4-E6BB-F5CE240047C8}"/>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98A27169-B0A0-60FF-7232-625BE405F242}"/>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5FB6C060-F6AF-7626-49D7-B8CFE80C87F6}"/>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424199</xdr:rowOff>
    </xdr:from>
    <xdr:to>
      <xdr:col>0</xdr:col>
      <xdr:colOff>1709296</xdr:colOff>
      <xdr:row>12</xdr:row>
      <xdr:rowOff>182217</xdr:rowOff>
    </xdr:to>
    <xdr:grpSp>
      <xdr:nvGrpSpPr>
        <xdr:cNvPr id="17" name="Group 16">
          <a:extLst>
            <a:ext uri="{FF2B5EF4-FFF2-40B4-BE49-F238E27FC236}">
              <a16:creationId xmlns:a16="http://schemas.microsoft.com/office/drawing/2014/main" id="{FAE6FB8C-C4E7-A32F-D575-6D9254C42F83}"/>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F23D83EC-D411-4731-1A23-344E3DAE6389}"/>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EEE71423-A1EA-1648-F3BC-15CA2CEFD05D}"/>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444617C0-CAED-BA13-A341-726084451823}"/>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E55F4BBA-FDA6-E788-F869-AE084059AA45}"/>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202007</xdr:rowOff>
    </xdr:from>
    <xdr:to>
      <xdr:col>0</xdr:col>
      <xdr:colOff>1708011</xdr:colOff>
      <xdr:row>13</xdr:row>
      <xdr:rowOff>290831</xdr:rowOff>
    </xdr:to>
    <xdr:grpSp>
      <xdr:nvGrpSpPr>
        <xdr:cNvPr id="18" name="Group 17">
          <a:extLst>
            <a:ext uri="{FF2B5EF4-FFF2-40B4-BE49-F238E27FC236}">
              <a16:creationId xmlns:a16="http://schemas.microsoft.com/office/drawing/2014/main" id="{49782738-CB8B-DCF8-DB6F-70409DBECE66}"/>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AA6B949B-35DF-7481-D863-3B98801A47F2}"/>
              </a:ext>
            </a:extLst>
          </xdr:cNvPr>
          <xdr:cNvSpPr/>
        </xdr:nvSpPr>
        <xdr:spPr>
          <a:xfrm>
            <a:off x="876" y="6449744"/>
            <a:ext cx="1709047" cy="450540"/>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4F1FB8CB-106A-7A98-E286-8E50BB359114}"/>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92" name="Oval 91">
            <a:extLst>
              <a:ext uri="{FF2B5EF4-FFF2-40B4-BE49-F238E27FC236}">
                <a16:creationId xmlns:a16="http://schemas.microsoft.com/office/drawing/2014/main" id="{A4339761-F1D9-F54A-1418-5B93E47A4A21}"/>
              </a:ext>
            </a:extLst>
          </xdr:cNvPr>
          <xdr:cNvSpPr/>
        </xdr:nvSpPr>
        <xdr:spPr>
          <a:xfrm>
            <a:off x="95462" y="6527891"/>
            <a:ext cx="286142" cy="293447"/>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4127FC08-0DDC-4E8C-0D71-E7B1723C4A7A}"/>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bg1"/>
                </a:solidFill>
              </a:rPr>
              <a:t>CDM</a:t>
            </a:r>
          </a:p>
        </xdr:txBody>
      </xdr:sp>
    </xdr:grpSp>
    <xdr:clientData/>
  </xdr:twoCellAnchor>
  <xdr:twoCellAnchor>
    <xdr:from>
      <xdr:col>0</xdr:col>
      <xdr:colOff>1777</xdr:colOff>
      <xdr:row>14</xdr:row>
      <xdr:rowOff>266343</xdr:rowOff>
    </xdr:from>
    <xdr:to>
      <xdr:col>0</xdr:col>
      <xdr:colOff>1708946</xdr:colOff>
      <xdr:row>15</xdr:row>
      <xdr:rowOff>179136</xdr:rowOff>
    </xdr:to>
    <xdr:grpSp>
      <xdr:nvGrpSpPr>
        <xdr:cNvPr id="19" name="Group 18">
          <a:extLst>
            <a:ext uri="{FF2B5EF4-FFF2-40B4-BE49-F238E27FC236}">
              <a16:creationId xmlns:a16="http://schemas.microsoft.com/office/drawing/2014/main" id="{B96882CB-A971-928C-ADF8-4C7313C44EA0}"/>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800BA9AE-F035-F822-8927-3916B3A0BCD3}"/>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FC8929E9-EA43-4CD8-4809-CBE36A94E5F1}"/>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26A458F1-1324-9CCC-438D-8343724DE253}"/>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CFA7B775-6A38-BA7D-CC74-158F99B2AEA2}"/>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15</xdr:row>
      <xdr:rowOff>206684</xdr:rowOff>
    </xdr:from>
    <xdr:to>
      <xdr:col>0</xdr:col>
      <xdr:colOff>1710873</xdr:colOff>
      <xdr:row>16</xdr:row>
      <xdr:rowOff>142679</xdr:rowOff>
    </xdr:to>
    <xdr:grpSp>
      <xdr:nvGrpSpPr>
        <xdr:cNvPr id="20" name="Group 19">
          <a:extLst>
            <a:ext uri="{FF2B5EF4-FFF2-40B4-BE49-F238E27FC236}">
              <a16:creationId xmlns:a16="http://schemas.microsoft.com/office/drawing/2014/main" id="{27DA158C-2DD4-14F7-8F7C-D8B468E3B88E}"/>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4BBA03BB-3F88-A7AF-77A8-6FF2048BC207}"/>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2F046BC7-1DDD-9CAB-0D9B-CB4751E0D42C}"/>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B3B2F8F3-BB33-E2E5-9469-8A59859FF80B}"/>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F156E0B4-8EEF-D179-1CD7-D01C71BD6EE3}"/>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16</xdr:row>
      <xdr:rowOff>166785</xdr:rowOff>
    </xdr:from>
    <xdr:to>
      <xdr:col>0</xdr:col>
      <xdr:colOff>1712157</xdr:colOff>
      <xdr:row>17</xdr:row>
      <xdr:rowOff>77067</xdr:rowOff>
    </xdr:to>
    <xdr:grpSp>
      <xdr:nvGrpSpPr>
        <xdr:cNvPr id="21" name="Group 20">
          <a:extLst>
            <a:ext uri="{FF2B5EF4-FFF2-40B4-BE49-F238E27FC236}">
              <a16:creationId xmlns:a16="http://schemas.microsoft.com/office/drawing/2014/main" id="{CE3D0129-E949-266F-34DA-B680EA08966E}"/>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BCC429E1-8A51-C467-5FDF-43B1CB3E8E40}"/>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266296A5-4700-95F3-8145-4C235F742435}"/>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3B4184EC-5CC2-09E0-A382-EB5D6654D80A}"/>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931D2E2B-6348-7017-54AA-9CB1F9391459}"/>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17</xdr:row>
      <xdr:rowOff>89855</xdr:rowOff>
    </xdr:from>
    <xdr:to>
      <xdr:col>0</xdr:col>
      <xdr:colOff>1713207</xdr:colOff>
      <xdr:row>18</xdr:row>
      <xdr:rowOff>25282</xdr:rowOff>
    </xdr:to>
    <xdr:grpSp>
      <xdr:nvGrpSpPr>
        <xdr:cNvPr id="22" name="Group 21">
          <a:extLst>
            <a:ext uri="{FF2B5EF4-FFF2-40B4-BE49-F238E27FC236}">
              <a16:creationId xmlns:a16="http://schemas.microsoft.com/office/drawing/2014/main" id="{DD413E66-55FF-FF1D-0485-0F2FAFF574F2}"/>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96CCA756-C325-1864-1143-DED6FA9C296F}"/>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56FBBF02-1C7B-2D39-4CE2-C7269B867092}"/>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19827943-05F9-A6DC-E2FF-3ECC6BD656F0}"/>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B2F8EF69-78F9-9EC6-2F77-9FDC82EC4C7F}"/>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18</xdr:row>
      <xdr:rowOff>550490</xdr:rowOff>
    </xdr:from>
    <xdr:to>
      <xdr:col>0</xdr:col>
      <xdr:colOff>1711774</xdr:colOff>
      <xdr:row>18</xdr:row>
      <xdr:rowOff>1017003</xdr:rowOff>
    </xdr:to>
    <xdr:grpSp>
      <xdr:nvGrpSpPr>
        <xdr:cNvPr id="23" name="Group 22">
          <a:extLst>
            <a:ext uri="{FF2B5EF4-FFF2-40B4-BE49-F238E27FC236}">
              <a16:creationId xmlns:a16="http://schemas.microsoft.com/office/drawing/2014/main" id="{08EEDCDF-00E3-BDFB-491D-CC479BA6027F}"/>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67B3EDE0-5B8E-3B33-2AF6-ED18EA519B98}"/>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29F2F8DE-3EAC-387C-6846-6DFCDEDC831D}"/>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7EE28F09-ED0F-1E6E-D14F-38C98537B3E5}"/>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BB3AF113-27C1-6D61-A2FF-5CDCF796CD0E}"/>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18</xdr:row>
      <xdr:rowOff>43265</xdr:rowOff>
    </xdr:from>
    <xdr:to>
      <xdr:col>0</xdr:col>
      <xdr:colOff>1712537</xdr:colOff>
      <xdr:row>18</xdr:row>
      <xdr:rowOff>526211</xdr:rowOff>
    </xdr:to>
    <xdr:grpSp>
      <xdr:nvGrpSpPr>
        <xdr:cNvPr id="24" name="Group 23">
          <a:extLst>
            <a:ext uri="{FF2B5EF4-FFF2-40B4-BE49-F238E27FC236}">
              <a16:creationId xmlns:a16="http://schemas.microsoft.com/office/drawing/2014/main" id="{E598CC12-50F8-9235-C0B3-DED620DEF30A}"/>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ADA8C99F-1C85-F450-B7AC-DFA7B0DD9BC9}"/>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1624E957-D5DA-4F15-B1E9-28F709026B01}"/>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3414D656-F075-EA14-2F30-9F17A90F210D}"/>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2ED7E805-E6FA-06B9-2A2C-4B333D90D776}"/>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18</xdr:row>
      <xdr:rowOff>1025402</xdr:rowOff>
    </xdr:from>
    <xdr:to>
      <xdr:col>0</xdr:col>
      <xdr:colOff>1711005</xdr:colOff>
      <xdr:row>19</xdr:row>
      <xdr:rowOff>415749</xdr:rowOff>
    </xdr:to>
    <xdr:grpSp>
      <xdr:nvGrpSpPr>
        <xdr:cNvPr id="25" name="Group 24">
          <a:extLst>
            <a:ext uri="{FF2B5EF4-FFF2-40B4-BE49-F238E27FC236}">
              <a16:creationId xmlns:a16="http://schemas.microsoft.com/office/drawing/2014/main" id="{B9BE7197-3B42-FAC9-5A40-97CF3DBC5CC7}"/>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A4C8B0AA-443F-AD03-6083-897DB075932F}"/>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30E4B5FF-F3F8-0A0C-0D7A-157351BA1CA9}"/>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6E3BA5CA-BE74-7D84-C1BE-3B0CB93C42E0}"/>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29389587-3CDA-3446-1AD4-7006F0920EEA}"/>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19</xdr:row>
      <xdr:rowOff>433066</xdr:rowOff>
    </xdr:from>
    <xdr:to>
      <xdr:col>0</xdr:col>
      <xdr:colOff>1712668</xdr:colOff>
      <xdr:row>20</xdr:row>
      <xdr:rowOff>336194</xdr:rowOff>
    </xdr:to>
    <xdr:grpSp>
      <xdr:nvGrpSpPr>
        <xdr:cNvPr id="27" name="Group 26">
          <a:extLst>
            <a:ext uri="{FF2B5EF4-FFF2-40B4-BE49-F238E27FC236}">
              <a16:creationId xmlns:a16="http://schemas.microsoft.com/office/drawing/2014/main" id="{2C29AA67-0544-6395-89A5-605A8691F6A0}"/>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DEE793AA-7450-8D15-BECA-6EF6F258C65D}"/>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EF05861A-ACDB-0EBC-3189-E790CF91E62E}"/>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12565D59-BF7D-5819-AF3B-25ED57DFE4E7}"/>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62B645C9-3037-6AA6-4FDA-C0FA471A9681}"/>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20</xdr:row>
      <xdr:rowOff>355032</xdr:rowOff>
    </xdr:from>
    <xdr:to>
      <xdr:col>0</xdr:col>
      <xdr:colOff>1711471</xdr:colOff>
      <xdr:row>21</xdr:row>
      <xdr:rowOff>291059</xdr:rowOff>
    </xdr:to>
    <xdr:grpSp>
      <xdr:nvGrpSpPr>
        <xdr:cNvPr id="28" name="Group 27">
          <a:extLst>
            <a:ext uri="{FF2B5EF4-FFF2-40B4-BE49-F238E27FC236}">
              <a16:creationId xmlns:a16="http://schemas.microsoft.com/office/drawing/2014/main" id="{ECCE90C1-431B-7092-8AA5-74225296E85D}"/>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6A113E91-FDF2-0441-EE6A-39BBD75E2CE3}"/>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DF512A95-BD87-9878-FE8A-1A1D7C8F75BA}"/>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25DDE6F3-4DC7-A7E3-B876-BD6F553CEF9D}"/>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8B929681-96D2-AFD6-B5B9-088351208B17}"/>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13</xdr:row>
      <xdr:rowOff>309897</xdr:rowOff>
    </xdr:from>
    <xdr:to>
      <xdr:col>0</xdr:col>
      <xdr:colOff>1707169</xdr:colOff>
      <xdr:row>14</xdr:row>
      <xdr:rowOff>242866</xdr:rowOff>
    </xdr:to>
    <xdr:grpSp>
      <xdr:nvGrpSpPr>
        <xdr:cNvPr id="29" name="Group 28">
          <a:extLst>
            <a:ext uri="{FF2B5EF4-FFF2-40B4-BE49-F238E27FC236}">
              <a16:creationId xmlns:a16="http://schemas.microsoft.com/office/drawing/2014/main" id="{EB7995A0-AA51-18CA-175F-62CF64F87DAD}"/>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90AE4DEA-BA55-FCDA-6632-FAE27CE261D4}"/>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677A9983-939B-5810-D9CF-6A95A12EDE44}"/>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F575FF47-1B39-A464-86A7-C777C9641331}"/>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F8E84B7E-D50A-54B9-9379-E94A33958069}"/>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21</xdr:row>
      <xdr:rowOff>303604</xdr:rowOff>
    </xdr:from>
    <xdr:to>
      <xdr:col>0</xdr:col>
      <xdr:colOff>1711953</xdr:colOff>
      <xdr:row>22</xdr:row>
      <xdr:rowOff>239631</xdr:rowOff>
    </xdr:to>
    <xdr:grpSp>
      <xdr:nvGrpSpPr>
        <xdr:cNvPr id="32" name="Group 31">
          <a:extLst>
            <a:ext uri="{FF2B5EF4-FFF2-40B4-BE49-F238E27FC236}">
              <a16:creationId xmlns:a16="http://schemas.microsoft.com/office/drawing/2014/main" id="{A456C4F4-DE0C-9175-47A7-C9DB88DDAB9C}"/>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28CD6639-AE04-A1A9-749B-E4ED29930339}"/>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AE24C172-E075-D7F4-2793-D45A5A9AB7E5}"/>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45A28B51-E83B-2E00-136B-A218B6A766D2}"/>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4788C664-A56F-F0DF-1107-D508A3429759}"/>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172AABED-CE57-453C-BCCF-380850094DF2}"/>
            </a:ext>
          </a:extLst>
        </xdr:cNvPr>
        <xdr:cNvGrpSpPr/>
      </xdr:nvGrpSpPr>
      <xdr:grpSpPr>
        <a:xfrm>
          <a:off x="91059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1F12B13D-060F-8D5E-253F-2E35C33050DC}"/>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9D2BBD08-6886-75FC-B615-6ED17C59CE05}"/>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22</xdr:row>
      <xdr:rowOff>285750</xdr:rowOff>
    </xdr:from>
    <xdr:to>
      <xdr:col>0</xdr:col>
      <xdr:colOff>1713549</xdr:colOff>
      <xdr:row>26</xdr:row>
      <xdr:rowOff>117907</xdr:rowOff>
    </xdr:to>
    <xdr:grpSp>
      <xdr:nvGrpSpPr>
        <xdr:cNvPr id="185" name="Group 184">
          <a:extLst>
            <a:ext uri="{FF2B5EF4-FFF2-40B4-BE49-F238E27FC236}">
              <a16:creationId xmlns:a16="http://schemas.microsoft.com/office/drawing/2014/main" id="{2EAA4ED7-DE5A-460E-9DFE-6080DEEB86A6}"/>
            </a:ext>
          </a:extLst>
        </xdr:cNvPr>
        <xdr:cNvGrpSpPr/>
      </xdr:nvGrpSpPr>
      <xdr:grpSpPr>
        <a:xfrm>
          <a:off x="0" y="12471400"/>
          <a:ext cx="1713549" cy="2226107"/>
          <a:chOff x="5137727" y="13144500"/>
          <a:chExt cx="1713549" cy="2252946"/>
        </a:xfrm>
      </xdr:grpSpPr>
      <xdr:grpSp>
        <xdr:nvGrpSpPr>
          <xdr:cNvPr id="186" name="Group 185">
            <a:extLst>
              <a:ext uri="{FF2B5EF4-FFF2-40B4-BE49-F238E27FC236}">
                <a16:creationId xmlns:a16="http://schemas.microsoft.com/office/drawing/2014/main" id="{1229DE05-D868-F3A5-AD6D-043F1269FDA0}"/>
              </a:ext>
            </a:extLst>
          </xdr:cNvPr>
          <xdr:cNvGrpSpPr/>
        </xdr:nvGrpSpPr>
        <xdr:grpSpPr>
          <a:xfrm>
            <a:off x="5144107" y="13624532"/>
            <a:ext cx="1707169" cy="465099"/>
            <a:chOff x="3415" y="11846315"/>
            <a:chExt cx="1725184" cy="456487"/>
          </a:xfrm>
        </xdr:grpSpPr>
        <xdr:sp macro="" textlink="">
          <xdr:nvSpPr>
            <xdr:cNvPr id="203" name="Rectangle: Rounded Corners 202">
              <a:extLst>
                <a:ext uri="{FF2B5EF4-FFF2-40B4-BE49-F238E27FC236}">
                  <a16:creationId xmlns:a16="http://schemas.microsoft.com/office/drawing/2014/main" id="{A9AE10CF-F089-7AC9-9F5F-22DFC83B2F6B}"/>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4" name="TextBox 203">
              <a:hlinkClick xmlns:r="http://schemas.openxmlformats.org/officeDocument/2006/relationships" r:id="rId23"/>
              <a:extLst>
                <a:ext uri="{FF2B5EF4-FFF2-40B4-BE49-F238E27FC236}">
                  <a16:creationId xmlns:a16="http://schemas.microsoft.com/office/drawing/2014/main" id="{E5E5A460-55C7-D907-4274-81AE5F6BE01D}"/>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05" name="Oval 204">
              <a:extLst>
                <a:ext uri="{FF2B5EF4-FFF2-40B4-BE49-F238E27FC236}">
                  <a16:creationId xmlns:a16="http://schemas.microsoft.com/office/drawing/2014/main" id="{EED20D13-A2A7-E627-36B4-3DDDB1884A63}"/>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6" name="TextBox 205">
              <a:hlinkClick xmlns:r="http://schemas.openxmlformats.org/officeDocument/2006/relationships" r:id="rId31"/>
              <a:extLst>
                <a:ext uri="{FF2B5EF4-FFF2-40B4-BE49-F238E27FC236}">
                  <a16:creationId xmlns:a16="http://schemas.microsoft.com/office/drawing/2014/main" id="{91FCBB92-CC39-0736-BE40-1D4C60A5883C}"/>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87" name="Group 186">
            <a:extLst>
              <a:ext uri="{FF2B5EF4-FFF2-40B4-BE49-F238E27FC236}">
                <a16:creationId xmlns:a16="http://schemas.microsoft.com/office/drawing/2014/main" id="{ECFDF265-8561-9A95-DFB4-FB79D4FF98AF}"/>
              </a:ext>
            </a:extLst>
          </xdr:cNvPr>
          <xdr:cNvGrpSpPr/>
        </xdr:nvGrpSpPr>
        <xdr:grpSpPr>
          <a:xfrm>
            <a:off x="5141639" y="14111307"/>
            <a:ext cx="1707169" cy="494728"/>
            <a:chOff x="847" y="12324893"/>
            <a:chExt cx="1725184" cy="486884"/>
          </a:xfrm>
        </xdr:grpSpPr>
        <xdr:sp macro="" textlink="">
          <xdr:nvSpPr>
            <xdr:cNvPr id="199" name="Rectangle: Rounded Corners 198">
              <a:extLst>
                <a:ext uri="{FF2B5EF4-FFF2-40B4-BE49-F238E27FC236}">
                  <a16:creationId xmlns:a16="http://schemas.microsoft.com/office/drawing/2014/main" id="{506BA7D2-F08F-A7EA-5052-89712E22443B}"/>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00" name="TextBox 199">
              <a:hlinkClick xmlns:r="http://schemas.openxmlformats.org/officeDocument/2006/relationships" r:id="rId32"/>
              <a:extLst>
                <a:ext uri="{FF2B5EF4-FFF2-40B4-BE49-F238E27FC236}">
                  <a16:creationId xmlns:a16="http://schemas.microsoft.com/office/drawing/2014/main" id="{B0BC2D36-676A-9580-3F30-E5C8C75930FC}"/>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201" name="Oval 200">
              <a:extLst>
                <a:ext uri="{FF2B5EF4-FFF2-40B4-BE49-F238E27FC236}">
                  <a16:creationId xmlns:a16="http://schemas.microsoft.com/office/drawing/2014/main" id="{D51A44AC-E627-CD94-9D9D-C9AA8309178C}"/>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202" name="TextBox 201">
              <a:hlinkClick xmlns:r="http://schemas.openxmlformats.org/officeDocument/2006/relationships" r:id="rId32"/>
              <a:extLst>
                <a:ext uri="{FF2B5EF4-FFF2-40B4-BE49-F238E27FC236}">
                  <a16:creationId xmlns:a16="http://schemas.microsoft.com/office/drawing/2014/main" id="{86438BAF-030D-DE0B-1BB1-454E568E9432}"/>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88" name="TextBox 187">
            <a:extLst>
              <a:ext uri="{FF2B5EF4-FFF2-40B4-BE49-F238E27FC236}">
                <a16:creationId xmlns:a16="http://schemas.microsoft.com/office/drawing/2014/main" id="{C296EB05-057C-1D4C-57C1-E25C507EFB5F}"/>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89" name="Group 188">
            <a:extLst>
              <a:ext uri="{FF2B5EF4-FFF2-40B4-BE49-F238E27FC236}">
                <a16:creationId xmlns:a16="http://schemas.microsoft.com/office/drawing/2014/main" id="{C1A4DA0B-C39A-6613-CB67-2DAD73F70281}"/>
              </a:ext>
            </a:extLst>
          </xdr:cNvPr>
          <xdr:cNvGrpSpPr/>
        </xdr:nvGrpSpPr>
        <xdr:grpSpPr>
          <a:xfrm>
            <a:off x="5138008" y="14617043"/>
            <a:ext cx="1708983" cy="494290"/>
            <a:chOff x="847" y="12324893"/>
            <a:chExt cx="1725184" cy="486884"/>
          </a:xfrm>
        </xdr:grpSpPr>
        <xdr:sp macro="" textlink="">
          <xdr:nvSpPr>
            <xdr:cNvPr id="195" name="Rectangle: Rounded Corners 194">
              <a:extLst>
                <a:ext uri="{FF2B5EF4-FFF2-40B4-BE49-F238E27FC236}">
                  <a16:creationId xmlns:a16="http://schemas.microsoft.com/office/drawing/2014/main" id="{5528BFA4-5A93-8D94-3BDA-003153A34294}"/>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6" name="TextBox 195">
              <a:hlinkClick xmlns:r="http://schemas.openxmlformats.org/officeDocument/2006/relationships" r:id="rId33"/>
              <a:extLst>
                <a:ext uri="{FF2B5EF4-FFF2-40B4-BE49-F238E27FC236}">
                  <a16:creationId xmlns:a16="http://schemas.microsoft.com/office/drawing/2014/main" id="{DD17BB58-5564-8907-A11E-9D5804D1F795}"/>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97" name="Oval 196">
              <a:extLst>
                <a:ext uri="{FF2B5EF4-FFF2-40B4-BE49-F238E27FC236}">
                  <a16:creationId xmlns:a16="http://schemas.microsoft.com/office/drawing/2014/main" id="{ACCB4DA3-E955-7193-56A4-09228335EA89}"/>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8" name="TextBox 197">
              <a:hlinkClick xmlns:r="http://schemas.openxmlformats.org/officeDocument/2006/relationships" r:id="rId33"/>
              <a:extLst>
                <a:ext uri="{FF2B5EF4-FFF2-40B4-BE49-F238E27FC236}">
                  <a16:creationId xmlns:a16="http://schemas.microsoft.com/office/drawing/2014/main" id="{7C838B75-1201-FECA-A45E-CAA7F771C137}"/>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90" name="Group 189">
            <a:extLst>
              <a:ext uri="{FF2B5EF4-FFF2-40B4-BE49-F238E27FC236}">
                <a16:creationId xmlns:a16="http://schemas.microsoft.com/office/drawing/2014/main" id="{C089E1DB-7DDD-E4D1-09AF-EF8BBB26EE57}"/>
              </a:ext>
            </a:extLst>
          </xdr:cNvPr>
          <xdr:cNvGrpSpPr/>
        </xdr:nvGrpSpPr>
        <xdr:grpSpPr>
          <a:xfrm>
            <a:off x="5137727" y="13144500"/>
            <a:ext cx="1707169" cy="464661"/>
            <a:chOff x="3415" y="11846315"/>
            <a:chExt cx="1725184" cy="456487"/>
          </a:xfrm>
        </xdr:grpSpPr>
        <xdr:sp macro="" textlink="">
          <xdr:nvSpPr>
            <xdr:cNvPr id="191" name="Rectangle: Rounded Corners 190">
              <a:hlinkClick xmlns:r="http://schemas.openxmlformats.org/officeDocument/2006/relationships" r:id="rId34"/>
              <a:extLst>
                <a:ext uri="{FF2B5EF4-FFF2-40B4-BE49-F238E27FC236}">
                  <a16:creationId xmlns:a16="http://schemas.microsoft.com/office/drawing/2014/main" id="{57E8F0A7-458F-2D55-A5DE-AF5FCA5F7565}"/>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2" name="TextBox 191">
              <a:hlinkClick xmlns:r="http://schemas.openxmlformats.org/officeDocument/2006/relationships" r:id="rId34"/>
              <a:extLst>
                <a:ext uri="{FF2B5EF4-FFF2-40B4-BE49-F238E27FC236}">
                  <a16:creationId xmlns:a16="http://schemas.microsoft.com/office/drawing/2014/main" id="{E556B2B7-9F92-AB9A-3354-A859EC40ADC1}"/>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93" name="Oval 192">
              <a:hlinkClick xmlns:r="http://schemas.openxmlformats.org/officeDocument/2006/relationships" r:id="rId34"/>
              <a:extLst>
                <a:ext uri="{FF2B5EF4-FFF2-40B4-BE49-F238E27FC236}">
                  <a16:creationId xmlns:a16="http://schemas.microsoft.com/office/drawing/2014/main" id="{7E3D63F4-B635-02DA-58AE-F76D8B8D559E}"/>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94" name="TextBox 193">
              <a:hlinkClick xmlns:r="http://schemas.openxmlformats.org/officeDocument/2006/relationships" r:id="rId34"/>
              <a:extLst>
                <a:ext uri="{FF2B5EF4-FFF2-40B4-BE49-F238E27FC236}">
                  <a16:creationId xmlns:a16="http://schemas.microsoft.com/office/drawing/2014/main" id="{6E4F220F-7C0C-7080-E068-A97DA5A9B30C}"/>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37</xdr:row>
      <xdr:rowOff>76200</xdr:rowOff>
    </xdr:to>
    <xdr:sp macro="" textlink="">
      <xdr:nvSpPr>
        <xdr:cNvPr id="4" name="Rectangle: Rounded Corners 3">
          <a:extLst>
            <a:ext uri="{FF2B5EF4-FFF2-40B4-BE49-F238E27FC236}">
              <a16:creationId xmlns:a16="http://schemas.microsoft.com/office/drawing/2014/main" id="{610F6294-1F16-FF71-B690-52D206944485}"/>
            </a:ext>
          </a:extLst>
        </xdr:cNvPr>
        <xdr:cNvSpPr/>
      </xdr:nvSpPr>
      <xdr:spPr>
        <a:xfrm>
          <a:off x="0" y="0"/>
          <a:ext cx="1841776" cy="148399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AA2BBB3B-87A5-9C38-EEEA-43C91710935F}"/>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BD79ECAA-037F-C2BF-86B9-907F607AD58A}"/>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3984B58D-945B-B0EF-26D2-7A740B2B78C6}"/>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A8727A01-5D1D-CA2C-6E28-D720E0D2AC13}"/>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8C47CEDD-80C3-6873-85BD-6A42419B327E}"/>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E3C5D3D7-36CA-451F-5243-18002F185A42}"/>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8094C54B-41DC-F0AB-66D8-02597337B98A}"/>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B292611E-B40E-AAB7-49BD-C8980267C0A3}"/>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03D9F78A-0F6C-F1FF-4F77-268D122791D6}"/>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6</xdr:row>
      <xdr:rowOff>46539</xdr:rowOff>
    </xdr:from>
    <xdr:to>
      <xdr:col>0</xdr:col>
      <xdr:colOff>1717958</xdr:colOff>
      <xdr:row>6</xdr:row>
      <xdr:rowOff>494351</xdr:rowOff>
    </xdr:to>
    <xdr:grpSp>
      <xdr:nvGrpSpPr>
        <xdr:cNvPr id="8" name="Group 7">
          <a:extLst>
            <a:ext uri="{FF2B5EF4-FFF2-40B4-BE49-F238E27FC236}">
              <a16:creationId xmlns:a16="http://schemas.microsoft.com/office/drawing/2014/main" id="{95D3CCAA-8E82-C050-E993-450F18FE4F5D}"/>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6E1F3B7A-CFBA-AA09-472F-72B1CEF63F6B}"/>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348318FA-4146-46C5-8F65-F9A8576DDA1C}"/>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ED54E727-4741-DC9C-EB08-928A76DEF68C}"/>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6</xdr:row>
      <xdr:rowOff>516002</xdr:rowOff>
    </xdr:from>
    <xdr:to>
      <xdr:col>0</xdr:col>
      <xdr:colOff>1715516</xdr:colOff>
      <xdr:row>8</xdr:row>
      <xdr:rowOff>41227</xdr:rowOff>
    </xdr:to>
    <xdr:grpSp>
      <xdr:nvGrpSpPr>
        <xdr:cNvPr id="9" name="Group 8">
          <a:extLst>
            <a:ext uri="{FF2B5EF4-FFF2-40B4-BE49-F238E27FC236}">
              <a16:creationId xmlns:a16="http://schemas.microsoft.com/office/drawing/2014/main" id="{6825C10C-A678-2E9A-BBDC-6B347397174D}"/>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F6675B16-C577-15ED-F5CA-A7F35387DE8E}"/>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64FCF448-9451-0E09-BC47-4F5661C5F244}"/>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2FFE2B06-284F-B925-40F1-EB15F85BDD9E}"/>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8</xdr:row>
      <xdr:rowOff>55506</xdr:rowOff>
    </xdr:from>
    <xdr:to>
      <xdr:col>0</xdr:col>
      <xdr:colOff>1713076</xdr:colOff>
      <xdr:row>9</xdr:row>
      <xdr:rowOff>146052</xdr:rowOff>
    </xdr:to>
    <xdr:grpSp>
      <xdr:nvGrpSpPr>
        <xdr:cNvPr id="10" name="Group 9">
          <a:extLst>
            <a:ext uri="{FF2B5EF4-FFF2-40B4-BE49-F238E27FC236}">
              <a16:creationId xmlns:a16="http://schemas.microsoft.com/office/drawing/2014/main" id="{F49C57B8-81B0-8077-34B1-3C353F56830C}"/>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1276F925-9C0E-877B-D839-47FCDFD0568B}"/>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EEDF4B03-F258-3CE8-8851-8524E538A4A4}"/>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88117ADB-C0CB-0130-4476-202B4425CDCD}"/>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336407A0-4969-B03C-BB93-1D1FA9605584}"/>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6</xdr:row>
      <xdr:rowOff>25914</xdr:rowOff>
    </xdr:to>
    <xdr:grpSp>
      <xdr:nvGrpSpPr>
        <xdr:cNvPr id="11" name="Group 10">
          <a:extLst>
            <a:ext uri="{FF2B5EF4-FFF2-40B4-BE49-F238E27FC236}">
              <a16:creationId xmlns:a16="http://schemas.microsoft.com/office/drawing/2014/main" id="{65718ED7-489B-BCAC-EFD9-749DCD6593B8}"/>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B9C55555-40D0-711F-C149-8BBDE585F215}"/>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637600B6-86A3-8BA0-95FC-3E1BF0B1162A}"/>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7D50E043-A9D6-DC03-7EF2-205DEFB65A5D}"/>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9</xdr:row>
      <xdr:rowOff>159236</xdr:rowOff>
    </xdr:from>
    <xdr:to>
      <xdr:col>0</xdr:col>
      <xdr:colOff>1713094</xdr:colOff>
      <xdr:row>10</xdr:row>
      <xdr:rowOff>274455</xdr:rowOff>
    </xdr:to>
    <xdr:grpSp>
      <xdr:nvGrpSpPr>
        <xdr:cNvPr id="12" name="Group 11">
          <a:extLst>
            <a:ext uri="{FF2B5EF4-FFF2-40B4-BE49-F238E27FC236}">
              <a16:creationId xmlns:a16="http://schemas.microsoft.com/office/drawing/2014/main" id="{33A3977B-B8CA-183F-8F9E-497CC3290F02}"/>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51E6E9CB-EFA8-7F27-920D-328E33101379}"/>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A55BD5FD-F90E-3280-022C-E338EB456C6E}"/>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78CAD728-605C-DACA-762C-29F5002FE824}"/>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90B4DC3A-7F39-7E5A-7CB2-95ADF1CB19F8}"/>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10</xdr:row>
      <xdr:rowOff>287253</xdr:rowOff>
    </xdr:from>
    <xdr:to>
      <xdr:col>0</xdr:col>
      <xdr:colOff>1713246</xdr:colOff>
      <xdr:row>11</xdr:row>
      <xdr:rowOff>380760</xdr:rowOff>
    </xdr:to>
    <xdr:grpSp>
      <xdr:nvGrpSpPr>
        <xdr:cNvPr id="13" name="Group 12">
          <a:extLst>
            <a:ext uri="{FF2B5EF4-FFF2-40B4-BE49-F238E27FC236}">
              <a16:creationId xmlns:a16="http://schemas.microsoft.com/office/drawing/2014/main" id="{6019B85E-8A85-D898-1737-E261846D0E63}"/>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C20A06A2-633B-2805-133B-6300E915DEAD}"/>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08975446-A27D-0E58-FB9B-A9AE248A5DFC}"/>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98551FEF-3252-699E-D970-C6DFE989E388}"/>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7872E80F-A364-E9F5-5063-5D1BAA20DF60}"/>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11</xdr:row>
      <xdr:rowOff>397990</xdr:rowOff>
    </xdr:from>
    <xdr:to>
      <xdr:col>0</xdr:col>
      <xdr:colOff>1709917</xdr:colOff>
      <xdr:row>12</xdr:row>
      <xdr:rowOff>340158</xdr:rowOff>
    </xdr:to>
    <xdr:grpSp>
      <xdr:nvGrpSpPr>
        <xdr:cNvPr id="14" name="Group 13">
          <a:extLst>
            <a:ext uri="{FF2B5EF4-FFF2-40B4-BE49-F238E27FC236}">
              <a16:creationId xmlns:a16="http://schemas.microsoft.com/office/drawing/2014/main" id="{824FB5D9-DF77-4006-49BA-B18DD668C64A}"/>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CBF03995-D43C-5F2C-795F-E640D7F3B49A}"/>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56F6AD40-3953-1E88-4581-C0E6673CC0B4}"/>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64BB23BE-B326-797B-125C-59DF3F71B9FE}"/>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61682274-E055-2C09-7335-9A7AECB08C58}"/>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12</xdr:row>
      <xdr:rowOff>362497</xdr:rowOff>
    </xdr:from>
    <xdr:to>
      <xdr:col>0</xdr:col>
      <xdr:colOff>1709302</xdr:colOff>
      <xdr:row>13</xdr:row>
      <xdr:rowOff>266381</xdr:rowOff>
    </xdr:to>
    <xdr:grpSp>
      <xdr:nvGrpSpPr>
        <xdr:cNvPr id="15" name="Group 14">
          <a:extLst>
            <a:ext uri="{FF2B5EF4-FFF2-40B4-BE49-F238E27FC236}">
              <a16:creationId xmlns:a16="http://schemas.microsoft.com/office/drawing/2014/main" id="{48F24D3C-4377-C1DE-D9C4-B5B7649C2E27}"/>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8824059A-040F-EE50-B5DD-D90B696336BA}"/>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A83A82EA-E147-0886-3CC3-80616E8D8A11}"/>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35B3217F-133B-0167-EEBB-0A2DDED03C14}"/>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F920A130-5DD2-53EC-C354-6A85091644A0}"/>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13</xdr:row>
      <xdr:rowOff>285298</xdr:rowOff>
    </xdr:from>
    <xdr:to>
      <xdr:col>0</xdr:col>
      <xdr:colOff>1709298</xdr:colOff>
      <xdr:row>14</xdr:row>
      <xdr:rowOff>38044</xdr:rowOff>
    </xdr:to>
    <xdr:grpSp>
      <xdr:nvGrpSpPr>
        <xdr:cNvPr id="16" name="Group 15">
          <a:extLst>
            <a:ext uri="{FF2B5EF4-FFF2-40B4-BE49-F238E27FC236}">
              <a16:creationId xmlns:a16="http://schemas.microsoft.com/office/drawing/2014/main" id="{D1B8DA42-B92C-E467-02E9-0E5F8626B461}"/>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F0963FD5-A3D8-3F68-B66E-C67655F4FAC6}"/>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80A4D313-ED0F-1F1D-2DBE-BEDC4AC4ECA1}"/>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F2EA5247-7D1A-130B-BFA5-4034582D4410}"/>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923CD25B-52CF-50EC-17DA-640CB0442292}"/>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14</xdr:row>
      <xdr:rowOff>55899</xdr:rowOff>
    </xdr:from>
    <xdr:to>
      <xdr:col>0</xdr:col>
      <xdr:colOff>1709296</xdr:colOff>
      <xdr:row>15</xdr:row>
      <xdr:rowOff>366367</xdr:rowOff>
    </xdr:to>
    <xdr:grpSp>
      <xdr:nvGrpSpPr>
        <xdr:cNvPr id="17" name="Group 16">
          <a:extLst>
            <a:ext uri="{FF2B5EF4-FFF2-40B4-BE49-F238E27FC236}">
              <a16:creationId xmlns:a16="http://schemas.microsoft.com/office/drawing/2014/main" id="{57F493B4-7457-AAB4-4E8C-7EA9B4C5236A}"/>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1B9CA19C-E4D8-0036-B662-97329C3C97A3}"/>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47BD8653-D8B7-00DA-39D0-84F5AC90331F}"/>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FBEBF107-7F3A-21B7-78AE-359D201FA9A1}"/>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C2B69B1D-DC79-6D83-3BCA-D7F679FDA053}"/>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15</xdr:row>
      <xdr:rowOff>386157</xdr:rowOff>
    </xdr:from>
    <xdr:to>
      <xdr:col>0</xdr:col>
      <xdr:colOff>1708011</xdr:colOff>
      <xdr:row>16</xdr:row>
      <xdr:rowOff>106681</xdr:rowOff>
    </xdr:to>
    <xdr:grpSp>
      <xdr:nvGrpSpPr>
        <xdr:cNvPr id="18" name="Group 17">
          <a:extLst>
            <a:ext uri="{FF2B5EF4-FFF2-40B4-BE49-F238E27FC236}">
              <a16:creationId xmlns:a16="http://schemas.microsoft.com/office/drawing/2014/main" id="{CF06FE3B-4F6F-A308-454B-8FFB6A3FAD3A}"/>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58A0296A-42BE-09CD-1D69-CFA4F80A1841}"/>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861DC110-5576-2DDB-CE2A-40ABF93FF27D}"/>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DF115343-D7C8-4FAD-31A1-0384C5E2426E}"/>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89671BCD-EEB2-3D69-A57A-955444924D95}"/>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17</xdr:row>
      <xdr:rowOff>82193</xdr:rowOff>
    </xdr:from>
    <xdr:to>
      <xdr:col>0</xdr:col>
      <xdr:colOff>1708946</xdr:colOff>
      <xdr:row>18</xdr:row>
      <xdr:rowOff>179136</xdr:rowOff>
    </xdr:to>
    <xdr:grpSp>
      <xdr:nvGrpSpPr>
        <xdr:cNvPr id="19" name="Group 18">
          <a:extLst>
            <a:ext uri="{FF2B5EF4-FFF2-40B4-BE49-F238E27FC236}">
              <a16:creationId xmlns:a16="http://schemas.microsoft.com/office/drawing/2014/main" id="{B604A241-017F-261F-2CAD-F56EE5DEAB52}"/>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F1E063AB-3E57-8CDB-E485-144B2E736087}"/>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44F0B1FE-A7C7-E37B-4723-02D58ACB2A2C}"/>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66615CB1-0A44-99DD-2A0F-8A2C4170797E}"/>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FCA5296B-2109-1E0E-8662-1728B2C14249}"/>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18</xdr:row>
      <xdr:rowOff>206684</xdr:rowOff>
    </xdr:from>
    <xdr:to>
      <xdr:col>0</xdr:col>
      <xdr:colOff>1710873</xdr:colOff>
      <xdr:row>19</xdr:row>
      <xdr:rowOff>326829</xdr:rowOff>
    </xdr:to>
    <xdr:grpSp>
      <xdr:nvGrpSpPr>
        <xdr:cNvPr id="20" name="Group 19">
          <a:extLst>
            <a:ext uri="{FF2B5EF4-FFF2-40B4-BE49-F238E27FC236}">
              <a16:creationId xmlns:a16="http://schemas.microsoft.com/office/drawing/2014/main" id="{056B6E89-8EA3-CE61-7890-C9AD336FD9B1}"/>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D87BC058-8AE3-BE08-23E6-F37106E3E1D4}"/>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D48A7091-1908-1F85-8D13-9C754745E65C}"/>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1D346931-FB4F-E061-F1B4-C3CF19F96738}"/>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5D609E90-5F49-AC19-65C9-C76CB6B4AFCC}"/>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19</xdr:row>
      <xdr:rowOff>350935</xdr:rowOff>
    </xdr:from>
    <xdr:to>
      <xdr:col>0</xdr:col>
      <xdr:colOff>1712157</xdr:colOff>
      <xdr:row>20</xdr:row>
      <xdr:rowOff>261217</xdr:rowOff>
    </xdr:to>
    <xdr:grpSp>
      <xdr:nvGrpSpPr>
        <xdr:cNvPr id="21" name="Group 20">
          <a:extLst>
            <a:ext uri="{FF2B5EF4-FFF2-40B4-BE49-F238E27FC236}">
              <a16:creationId xmlns:a16="http://schemas.microsoft.com/office/drawing/2014/main" id="{1538BFBB-8B36-FB8D-B180-1C7FD649F0A9}"/>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CA4E2A3B-84A1-03F6-3BE2-91C49C1FF8AA}"/>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D1CFE28B-8B08-0415-AC34-FCBE14CD4674}"/>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FCA2471E-C1DF-2FC0-5CF4-3A839357FE4A}"/>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61A919A0-D95B-A9E4-7B2E-5C8DB6EAEDC9}"/>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20</xdr:row>
      <xdr:rowOff>274005</xdr:rowOff>
    </xdr:from>
    <xdr:to>
      <xdr:col>0</xdr:col>
      <xdr:colOff>1713207</xdr:colOff>
      <xdr:row>21</xdr:row>
      <xdr:rowOff>209432</xdr:rowOff>
    </xdr:to>
    <xdr:grpSp>
      <xdr:nvGrpSpPr>
        <xdr:cNvPr id="22" name="Group 21">
          <a:extLst>
            <a:ext uri="{FF2B5EF4-FFF2-40B4-BE49-F238E27FC236}">
              <a16:creationId xmlns:a16="http://schemas.microsoft.com/office/drawing/2014/main" id="{1E9239F9-88D9-1DAC-9D3F-26EE39A18B44}"/>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D0AF68C5-7FC7-2053-86E2-786D0786E40C}"/>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31B368DD-C625-05B1-59AE-D263A90DBA98}"/>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78F21DA9-B87C-EA41-0275-45D9D3A9347B}"/>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FE5BC1D3-E2DF-B9CC-1D88-453584FF6F05}"/>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22</xdr:row>
      <xdr:rowOff>182190</xdr:rowOff>
    </xdr:from>
    <xdr:to>
      <xdr:col>0</xdr:col>
      <xdr:colOff>1711774</xdr:colOff>
      <xdr:row>23</xdr:row>
      <xdr:rowOff>280403</xdr:rowOff>
    </xdr:to>
    <xdr:grpSp>
      <xdr:nvGrpSpPr>
        <xdr:cNvPr id="23" name="Group 22">
          <a:extLst>
            <a:ext uri="{FF2B5EF4-FFF2-40B4-BE49-F238E27FC236}">
              <a16:creationId xmlns:a16="http://schemas.microsoft.com/office/drawing/2014/main" id="{CC8C508C-8D2F-D9AE-A5DE-4A6230C3510F}"/>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8147E265-2672-33DB-F3C1-DF181DCD0F83}"/>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0EB02B4C-1CEB-AFE0-D858-1E8A86BDB538}"/>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BBFD9B95-911B-1E52-7967-6B4346FD92D9}"/>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F15419B4-5A76-2D5B-8D46-D1F672077ADC}"/>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21</xdr:row>
      <xdr:rowOff>227415</xdr:rowOff>
    </xdr:from>
    <xdr:to>
      <xdr:col>0</xdr:col>
      <xdr:colOff>1712537</xdr:colOff>
      <xdr:row>22</xdr:row>
      <xdr:rowOff>157911</xdr:rowOff>
    </xdr:to>
    <xdr:grpSp>
      <xdr:nvGrpSpPr>
        <xdr:cNvPr id="24" name="Group 23">
          <a:extLst>
            <a:ext uri="{FF2B5EF4-FFF2-40B4-BE49-F238E27FC236}">
              <a16:creationId xmlns:a16="http://schemas.microsoft.com/office/drawing/2014/main" id="{42B871E7-02AE-8B5E-0119-6789D61E9279}"/>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CD8C1D67-8D6A-D59F-D793-44650C7ECD62}"/>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D5F10D40-DD3E-148D-D8A5-185D71F8EE8D}"/>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C9027726-D78F-4490-77F1-F30C63DF88B2}"/>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53B53FF6-6AB2-987A-4034-A526C70E2F06}"/>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23</xdr:row>
      <xdr:rowOff>288802</xdr:rowOff>
    </xdr:from>
    <xdr:to>
      <xdr:col>0</xdr:col>
      <xdr:colOff>1711005</xdr:colOff>
      <xdr:row>24</xdr:row>
      <xdr:rowOff>231599</xdr:rowOff>
    </xdr:to>
    <xdr:grpSp>
      <xdr:nvGrpSpPr>
        <xdr:cNvPr id="25" name="Group 24">
          <a:extLst>
            <a:ext uri="{FF2B5EF4-FFF2-40B4-BE49-F238E27FC236}">
              <a16:creationId xmlns:a16="http://schemas.microsoft.com/office/drawing/2014/main" id="{CDEAE676-B545-876F-6F78-F7E0655085AB}"/>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B78EED6B-6D12-FFC2-7BF3-44D19D6926A9}"/>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818DD6F1-3AD1-B6AD-0B47-935A1D089D93}"/>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DD6484FB-4717-A3D3-2C60-1D6707172628}"/>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9578F383-15F4-278E-EEB6-4D5733C1A0E6}"/>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24</xdr:row>
      <xdr:rowOff>248916</xdr:rowOff>
    </xdr:from>
    <xdr:to>
      <xdr:col>0</xdr:col>
      <xdr:colOff>1712668</xdr:colOff>
      <xdr:row>25</xdr:row>
      <xdr:rowOff>152044</xdr:rowOff>
    </xdr:to>
    <xdr:grpSp>
      <xdr:nvGrpSpPr>
        <xdr:cNvPr id="27" name="Group 26">
          <a:extLst>
            <a:ext uri="{FF2B5EF4-FFF2-40B4-BE49-F238E27FC236}">
              <a16:creationId xmlns:a16="http://schemas.microsoft.com/office/drawing/2014/main" id="{5ABA7CD3-3356-08D0-7754-B2E0F7CE23A2}"/>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38011B25-2CB3-3D90-7416-182503BA2A51}"/>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F6534970-1673-FD05-C116-18ED19D8F580}"/>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FDFBFA0A-A3E6-B65A-1DC4-28C6E0E253F7}"/>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6A5DCA41-BDA6-FD54-FA51-D5049FAF70A7}"/>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25</xdr:row>
      <xdr:rowOff>170882</xdr:rowOff>
    </xdr:from>
    <xdr:to>
      <xdr:col>0</xdr:col>
      <xdr:colOff>1711471</xdr:colOff>
      <xdr:row>26</xdr:row>
      <xdr:rowOff>291059</xdr:rowOff>
    </xdr:to>
    <xdr:grpSp>
      <xdr:nvGrpSpPr>
        <xdr:cNvPr id="28" name="Group 27">
          <a:extLst>
            <a:ext uri="{FF2B5EF4-FFF2-40B4-BE49-F238E27FC236}">
              <a16:creationId xmlns:a16="http://schemas.microsoft.com/office/drawing/2014/main" id="{3A351CA2-10CF-5DC7-36E0-BC7A550C8FCA}"/>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0F9F7327-AC20-CFB8-0F6D-773D44BE3C74}"/>
              </a:ext>
            </a:extLst>
          </xdr:cNvPr>
          <xdr:cNvSpPr/>
        </xdr:nvSpPr>
        <xdr:spPr>
          <a:xfrm>
            <a:off x="4477" y="11354526"/>
            <a:ext cx="1709047" cy="473293"/>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229CB07A-D308-F661-448E-D40997A0A2A3}"/>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52" name="Oval 51">
            <a:extLst>
              <a:ext uri="{FF2B5EF4-FFF2-40B4-BE49-F238E27FC236}">
                <a16:creationId xmlns:a16="http://schemas.microsoft.com/office/drawing/2014/main" id="{6AD705CB-B053-F90D-E17B-079A10F6D7CE}"/>
              </a:ext>
            </a:extLst>
          </xdr:cNvPr>
          <xdr:cNvSpPr/>
        </xdr:nvSpPr>
        <xdr:spPr>
          <a:xfrm>
            <a:off x="99063" y="11436003"/>
            <a:ext cx="286142" cy="309498"/>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28FBD06A-86A3-7981-8476-AF0DAE29B76B}"/>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Fire Certificate</a:t>
            </a:r>
          </a:p>
        </xdr:txBody>
      </xdr:sp>
    </xdr:grpSp>
    <xdr:clientData/>
  </xdr:twoCellAnchor>
  <xdr:twoCellAnchor>
    <xdr:from>
      <xdr:col>0</xdr:col>
      <xdr:colOff>0</xdr:colOff>
      <xdr:row>16</xdr:row>
      <xdr:rowOff>125747</xdr:rowOff>
    </xdr:from>
    <xdr:to>
      <xdr:col>0</xdr:col>
      <xdr:colOff>1707169</xdr:colOff>
      <xdr:row>17</xdr:row>
      <xdr:rowOff>58716</xdr:rowOff>
    </xdr:to>
    <xdr:grpSp>
      <xdr:nvGrpSpPr>
        <xdr:cNvPr id="29" name="Group 28">
          <a:extLst>
            <a:ext uri="{FF2B5EF4-FFF2-40B4-BE49-F238E27FC236}">
              <a16:creationId xmlns:a16="http://schemas.microsoft.com/office/drawing/2014/main" id="{CA4EE77F-7F30-4AC4-9FCD-9A48CAE47185}"/>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CAA98821-5A8F-E68C-78ED-5E0E3BAE708F}"/>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1F12F4C1-7DDF-7A03-07A2-35F53AC84394}"/>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C0103A4E-38CD-FABF-9B15-A3A8E595273E}"/>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AA9DD2FD-9367-4FD4-6F42-CC6A5E41A546}"/>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26</xdr:row>
      <xdr:rowOff>303604</xdr:rowOff>
    </xdr:from>
    <xdr:to>
      <xdr:col>0</xdr:col>
      <xdr:colOff>1711953</xdr:colOff>
      <xdr:row>27</xdr:row>
      <xdr:rowOff>239631</xdr:rowOff>
    </xdr:to>
    <xdr:grpSp>
      <xdr:nvGrpSpPr>
        <xdr:cNvPr id="32" name="Group 31">
          <a:extLst>
            <a:ext uri="{FF2B5EF4-FFF2-40B4-BE49-F238E27FC236}">
              <a16:creationId xmlns:a16="http://schemas.microsoft.com/office/drawing/2014/main" id="{4A32F212-F7E2-09C9-D24F-F8D8DD39E996}"/>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EE9631C9-0A9F-07F2-D450-802F27BD8DF7}"/>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1F1D9837-3AD4-DBDA-767B-7B98797AFDC6}"/>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249559F3-62DA-1C26-436A-7A65E50315E7}"/>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1F87CDE5-8B9F-F64A-C99B-F7DBBC0A0116}"/>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83075646-5012-40E7-9EA0-89E08A8D538C}"/>
            </a:ext>
          </a:extLst>
        </xdr:cNvPr>
        <xdr:cNvGrpSpPr/>
      </xdr:nvGrpSpPr>
      <xdr:grpSpPr>
        <a:xfrm>
          <a:off x="101854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38E51607-D632-F78A-C190-5075E23BC506}"/>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A2CF18DD-A1DD-8239-5654-355D6E318624}"/>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27</xdr:row>
      <xdr:rowOff>254000</xdr:rowOff>
    </xdr:from>
    <xdr:to>
      <xdr:col>0</xdr:col>
      <xdr:colOff>1713549</xdr:colOff>
      <xdr:row>36</xdr:row>
      <xdr:rowOff>86157</xdr:rowOff>
    </xdr:to>
    <xdr:grpSp>
      <xdr:nvGrpSpPr>
        <xdr:cNvPr id="163" name="Group 162">
          <a:extLst>
            <a:ext uri="{FF2B5EF4-FFF2-40B4-BE49-F238E27FC236}">
              <a16:creationId xmlns:a16="http://schemas.microsoft.com/office/drawing/2014/main" id="{22747968-5CE1-46B6-BCA1-3E691E356390}"/>
            </a:ext>
          </a:extLst>
        </xdr:cNvPr>
        <xdr:cNvGrpSpPr/>
      </xdr:nvGrpSpPr>
      <xdr:grpSpPr>
        <a:xfrm>
          <a:off x="0" y="12439650"/>
          <a:ext cx="1713549" cy="2226107"/>
          <a:chOff x="5137727" y="13144500"/>
          <a:chExt cx="1713549" cy="2252946"/>
        </a:xfrm>
      </xdr:grpSpPr>
      <xdr:grpSp>
        <xdr:nvGrpSpPr>
          <xdr:cNvPr id="164" name="Group 163">
            <a:extLst>
              <a:ext uri="{FF2B5EF4-FFF2-40B4-BE49-F238E27FC236}">
                <a16:creationId xmlns:a16="http://schemas.microsoft.com/office/drawing/2014/main" id="{8BCD4C64-E0EE-1055-9E2A-CE9AC84B1824}"/>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FC89E79B-BF7A-D819-D051-5C5EE5E8703E}"/>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BF7D5FF6-C9F0-C6D1-79C5-E26ACC1A26E9}"/>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800E6383-0AE0-A500-9EB2-4A4022071171}"/>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16DE9FB4-C97F-BD8E-017D-DD0C002BDE31}"/>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0CF3F93E-5CB3-2605-7FD4-B433765491CB}"/>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730D95A1-BB7A-30B1-7BA2-269985B57662}"/>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2E3376AB-E3C1-9DE5-3679-BC8AD00F06C8}"/>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D83312F5-B0C7-EA93-31FC-733E8114DCD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42762557-C525-E960-5A4B-741CDCCBA713}"/>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927BF4D7-F9EC-D078-4FD1-A133BFB89B76}"/>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0FA9CFD1-47C2-DBA1-E64F-14C68C589EC4}"/>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5D365AF8-7B10-B481-7A62-4D108CA8E9E4}"/>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2C69DB43-8EFF-BDCD-942F-4ED6EAA213DE}"/>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8948352E-DF22-1A51-3CAA-9B5A669D7BD9}"/>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4BE7D2A4-F903-DF7F-29D6-01C341CFD275}"/>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296166C7-375E-BADB-973B-7139194F48BB}"/>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03071E12-8634-5558-F42D-E348A40501E9}"/>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259BA965-4F1A-6490-BD4B-D32C539A15E1}"/>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4C823EE0-E5A1-2716-A019-25C167CD94B9}"/>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F6C311BB-F57C-49CE-E63E-E221525D9F40}"/>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46</xdr:row>
      <xdr:rowOff>19050</xdr:rowOff>
    </xdr:to>
    <xdr:sp macro="" textlink="">
      <xdr:nvSpPr>
        <xdr:cNvPr id="4" name="Rectangle: Rounded Corners 3">
          <a:extLst>
            <a:ext uri="{FF2B5EF4-FFF2-40B4-BE49-F238E27FC236}">
              <a16:creationId xmlns:a16="http://schemas.microsoft.com/office/drawing/2014/main" id="{507AE214-97D1-A89C-9B7A-1D4BA6AF5821}"/>
            </a:ext>
          </a:extLst>
        </xdr:cNvPr>
        <xdr:cNvSpPr/>
      </xdr:nvSpPr>
      <xdr:spPr>
        <a:xfrm>
          <a:off x="0" y="0"/>
          <a:ext cx="1841776" cy="1478280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4886833E-5D65-33D8-F581-20B961F4F079}"/>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7B638603-92A7-FE53-DB75-EC361923A491}"/>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0316AC37-098B-8E8A-59D1-06F18D4B3C51}"/>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844BA8FC-423A-4B11-1F85-6F0420D24C2D}"/>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E0A6F66F-43D7-07FE-EFD5-52D8C4671CE8}"/>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69124</xdr:rowOff>
    </xdr:to>
    <xdr:grpSp>
      <xdr:nvGrpSpPr>
        <xdr:cNvPr id="7" name="Group 6">
          <a:extLst>
            <a:ext uri="{FF2B5EF4-FFF2-40B4-BE49-F238E27FC236}">
              <a16:creationId xmlns:a16="http://schemas.microsoft.com/office/drawing/2014/main" id="{10D3E758-B291-5E6E-E192-F2F2B9939CBE}"/>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B09D80DF-4835-7DE1-BE03-99B363199EC9}"/>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84A8F820-5F79-AEAC-405B-DF94C2EA7934}"/>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AAD0A7D3-5E1A-C368-A49B-664D775863EE}"/>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230689</xdr:rowOff>
    </xdr:from>
    <xdr:to>
      <xdr:col>0</xdr:col>
      <xdr:colOff>1717958</xdr:colOff>
      <xdr:row>5</xdr:row>
      <xdr:rowOff>678501</xdr:rowOff>
    </xdr:to>
    <xdr:grpSp>
      <xdr:nvGrpSpPr>
        <xdr:cNvPr id="8" name="Group 7">
          <a:extLst>
            <a:ext uri="{FF2B5EF4-FFF2-40B4-BE49-F238E27FC236}">
              <a16:creationId xmlns:a16="http://schemas.microsoft.com/office/drawing/2014/main" id="{7533E382-9B30-11E5-F0EA-CAF70ED34DEE}"/>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1DDA85CD-E719-34C8-BB71-C44BF569B2C5}"/>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C9B971A5-FF0E-8399-B7E7-2B6521143ECE}"/>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7A498C30-B8EE-DD0E-B2A9-B551E66D09B8}"/>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700152</xdr:rowOff>
    </xdr:from>
    <xdr:to>
      <xdr:col>0</xdr:col>
      <xdr:colOff>1715516</xdr:colOff>
      <xdr:row>7</xdr:row>
      <xdr:rowOff>41227</xdr:rowOff>
    </xdr:to>
    <xdr:grpSp>
      <xdr:nvGrpSpPr>
        <xdr:cNvPr id="9" name="Group 8">
          <a:extLst>
            <a:ext uri="{FF2B5EF4-FFF2-40B4-BE49-F238E27FC236}">
              <a16:creationId xmlns:a16="http://schemas.microsoft.com/office/drawing/2014/main" id="{B0028363-01BF-64ED-B06D-682A34EA9BC8}"/>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EABF54B9-D17F-2499-7759-F0B717504ECE}"/>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7385B4D1-D9BC-1581-7912-F2C840455818}"/>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9F56BF8B-1BD4-5740-CE13-45C2274A7AAE}"/>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7</xdr:row>
      <xdr:rowOff>55506</xdr:rowOff>
    </xdr:from>
    <xdr:to>
      <xdr:col>0</xdr:col>
      <xdr:colOff>1713076</xdr:colOff>
      <xdr:row>7</xdr:row>
      <xdr:rowOff>514352</xdr:rowOff>
    </xdr:to>
    <xdr:grpSp>
      <xdr:nvGrpSpPr>
        <xdr:cNvPr id="10" name="Group 9">
          <a:extLst>
            <a:ext uri="{FF2B5EF4-FFF2-40B4-BE49-F238E27FC236}">
              <a16:creationId xmlns:a16="http://schemas.microsoft.com/office/drawing/2014/main" id="{10719C5B-5A23-8213-E856-30BEBFDAF83D}"/>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75E4791C-932D-9650-2591-813E9D1D86B8}"/>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5968D489-A775-C5C6-E916-513DD978EC88}"/>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64356A52-CDBB-3A21-B64D-C1E5118566D0}"/>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A2903001-8505-C6B0-1A68-DF1BE00D775D}"/>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91425</xdr:rowOff>
    </xdr:from>
    <xdr:to>
      <xdr:col>0</xdr:col>
      <xdr:colOff>1716667</xdr:colOff>
      <xdr:row>5</xdr:row>
      <xdr:rowOff>210064</xdr:rowOff>
    </xdr:to>
    <xdr:grpSp>
      <xdr:nvGrpSpPr>
        <xdr:cNvPr id="11" name="Group 10">
          <a:extLst>
            <a:ext uri="{FF2B5EF4-FFF2-40B4-BE49-F238E27FC236}">
              <a16:creationId xmlns:a16="http://schemas.microsoft.com/office/drawing/2014/main" id="{FE4990B3-4E2E-FB2F-F716-2DBE8061D56F}"/>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0CEFC071-5F86-0C4A-4397-65E0FFE00493}"/>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25EDE2BF-79B7-05E4-EA73-F91FD4BB8849}"/>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404B1AA7-ECC4-2EC0-B8D3-CE78E43416F6}"/>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7</xdr:row>
      <xdr:rowOff>527536</xdr:rowOff>
    </xdr:from>
    <xdr:to>
      <xdr:col>0</xdr:col>
      <xdr:colOff>1713094</xdr:colOff>
      <xdr:row>8</xdr:row>
      <xdr:rowOff>274455</xdr:rowOff>
    </xdr:to>
    <xdr:grpSp>
      <xdr:nvGrpSpPr>
        <xdr:cNvPr id="12" name="Group 11">
          <a:extLst>
            <a:ext uri="{FF2B5EF4-FFF2-40B4-BE49-F238E27FC236}">
              <a16:creationId xmlns:a16="http://schemas.microsoft.com/office/drawing/2014/main" id="{58BCBF88-9AC5-AB08-C730-A1C041E9410B}"/>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85F6F1E4-14A8-4532-EDA6-C05970B0DCED}"/>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F6522B99-4A88-D508-1A35-19FE0E9FF287}"/>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C5F21702-6D52-5BDF-E7F7-38A0670534FF}"/>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56A4CDB0-3C80-921F-C49B-44F3A96F2DBA}"/>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8</xdr:row>
      <xdr:rowOff>287253</xdr:rowOff>
    </xdr:from>
    <xdr:to>
      <xdr:col>0</xdr:col>
      <xdr:colOff>1713246</xdr:colOff>
      <xdr:row>9</xdr:row>
      <xdr:rowOff>380760</xdr:rowOff>
    </xdr:to>
    <xdr:grpSp>
      <xdr:nvGrpSpPr>
        <xdr:cNvPr id="13" name="Group 12">
          <a:extLst>
            <a:ext uri="{FF2B5EF4-FFF2-40B4-BE49-F238E27FC236}">
              <a16:creationId xmlns:a16="http://schemas.microsoft.com/office/drawing/2014/main" id="{74BA7A96-DB90-7E66-2381-43F832227292}"/>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40BEB673-F7BC-C797-79FE-9DE8E49A9938}"/>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C499CB84-B970-69E8-5279-6714E3476166}"/>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57A735C3-DD71-FA21-9738-DFE604E1BD59}"/>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742DC644-FCBF-9CF8-39C5-7DADE9A2500B}"/>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9</xdr:row>
      <xdr:rowOff>397990</xdr:rowOff>
    </xdr:from>
    <xdr:to>
      <xdr:col>0</xdr:col>
      <xdr:colOff>1709917</xdr:colOff>
      <xdr:row>10</xdr:row>
      <xdr:rowOff>340158</xdr:rowOff>
    </xdr:to>
    <xdr:grpSp>
      <xdr:nvGrpSpPr>
        <xdr:cNvPr id="14" name="Group 13">
          <a:extLst>
            <a:ext uri="{FF2B5EF4-FFF2-40B4-BE49-F238E27FC236}">
              <a16:creationId xmlns:a16="http://schemas.microsoft.com/office/drawing/2014/main" id="{64EB1761-559A-1FA7-8B27-4EBA7FAE5188}"/>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C3F076CC-D765-D95B-D024-23CB057F2382}"/>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56461AE2-C3A7-8BC3-FF93-673CACAF75E1}"/>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BE70EECA-27FE-A19B-4147-8DD4FD9FA99F}"/>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3A02CC9A-DE71-0AC9-B426-21279137E515}"/>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10</xdr:row>
      <xdr:rowOff>362497</xdr:rowOff>
    </xdr:from>
    <xdr:to>
      <xdr:col>0</xdr:col>
      <xdr:colOff>1709302</xdr:colOff>
      <xdr:row>11</xdr:row>
      <xdr:rowOff>82231</xdr:rowOff>
    </xdr:to>
    <xdr:grpSp>
      <xdr:nvGrpSpPr>
        <xdr:cNvPr id="15" name="Group 14">
          <a:extLst>
            <a:ext uri="{FF2B5EF4-FFF2-40B4-BE49-F238E27FC236}">
              <a16:creationId xmlns:a16="http://schemas.microsoft.com/office/drawing/2014/main" id="{DEC78937-0F5E-FAB8-15FD-B8E9A78AF80B}"/>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6BA461ED-1E11-3013-1642-255EA82502A3}"/>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C604DB0C-D707-33EB-C823-C659126AC1D9}"/>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6834D35C-11F5-FEFA-A1C4-7FCE1C1F90BA}"/>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E868139B-7B5E-9E04-DFAA-E6D4BCA016E4}"/>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11</xdr:row>
      <xdr:rowOff>101148</xdr:rowOff>
    </xdr:from>
    <xdr:to>
      <xdr:col>0</xdr:col>
      <xdr:colOff>1709298</xdr:colOff>
      <xdr:row>12</xdr:row>
      <xdr:rowOff>222194</xdr:rowOff>
    </xdr:to>
    <xdr:grpSp>
      <xdr:nvGrpSpPr>
        <xdr:cNvPr id="16" name="Group 15">
          <a:extLst>
            <a:ext uri="{FF2B5EF4-FFF2-40B4-BE49-F238E27FC236}">
              <a16:creationId xmlns:a16="http://schemas.microsoft.com/office/drawing/2014/main" id="{9EA3B5DA-8BB4-D0AF-4480-1EDD42EBB1BF}"/>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83D0C5A8-E637-C8E7-4E52-58EECD4B054E}"/>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3403A644-93CA-CCCF-66DD-3B6610642512}"/>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54D39466-010A-5396-02E3-D48D09DF4509}"/>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45BC10EF-0EB1-FA85-D5D6-002035B5CDC1}"/>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12</xdr:row>
      <xdr:rowOff>240049</xdr:rowOff>
    </xdr:from>
    <xdr:to>
      <xdr:col>0</xdr:col>
      <xdr:colOff>1709296</xdr:colOff>
      <xdr:row>13</xdr:row>
      <xdr:rowOff>366367</xdr:rowOff>
    </xdr:to>
    <xdr:grpSp>
      <xdr:nvGrpSpPr>
        <xdr:cNvPr id="17" name="Group 16">
          <a:extLst>
            <a:ext uri="{FF2B5EF4-FFF2-40B4-BE49-F238E27FC236}">
              <a16:creationId xmlns:a16="http://schemas.microsoft.com/office/drawing/2014/main" id="{FB18DC02-90A0-4411-3896-1FF6A5492B01}"/>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732CDDF2-688D-3A43-5A15-0B0C984FF3D9}"/>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A44D2B7F-4710-3134-5D70-A6A0EC3B6F9F}"/>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26628906-3050-BCFC-C38C-97B5ADDA161E}"/>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7EEBA15C-BABC-FC5F-5C32-AAA100AD42D5}"/>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14</xdr:row>
      <xdr:rowOff>17857</xdr:rowOff>
    </xdr:from>
    <xdr:to>
      <xdr:col>0</xdr:col>
      <xdr:colOff>1708011</xdr:colOff>
      <xdr:row>14</xdr:row>
      <xdr:rowOff>474981</xdr:rowOff>
    </xdr:to>
    <xdr:grpSp>
      <xdr:nvGrpSpPr>
        <xdr:cNvPr id="18" name="Group 17">
          <a:extLst>
            <a:ext uri="{FF2B5EF4-FFF2-40B4-BE49-F238E27FC236}">
              <a16:creationId xmlns:a16="http://schemas.microsoft.com/office/drawing/2014/main" id="{BE48B90D-1226-1060-5899-894D545996D8}"/>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0C721306-C958-9589-B562-24296CBC1F8C}"/>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37A38A1B-F995-B06F-86C6-2004EF5A40EE}"/>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3EF4C39C-7344-6B2E-4DD5-FBE1FF673346}"/>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EA5526EA-9BB2-5C3B-D62F-7B5E6B9A43D1}"/>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15</xdr:row>
      <xdr:rowOff>266343</xdr:rowOff>
    </xdr:from>
    <xdr:to>
      <xdr:col>0</xdr:col>
      <xdr:colOff>1708946</xdr:colOff>
      <xdr:row>16</xdr:row>
      <xdr:rowOff>179136</xdr:rowOff>
    </xdr:to>
    <xdr:grpSp>
      <xdr:nvGrpSpPr>
        <xdr:cNvPr id="19" name="Group 18">
          <a:extLst>
            <a:ext uri="{FF2B5EF4-FFF2-40B4-BE49-F238E27FC236}">
              <a16:creationId xmlns:a16="http://schemas.microsoft.com/office/drawing/2014/main" id="{257E6157-0FF6-C244-B89F-7DDE438386BC}"/>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E45EE2AC-BD39-71C7-3604-84FBC7DCD921}"/>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FECA6165-6CEC-3B73-40A7-9DF26069B0F8}"/>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333CE6E4-579E-7752-8F71-1409DC49D98D}"/>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CCB5B0BB-5051-860D-3957-1AF54623D714}"/>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16</xdr:row>
      <xdr:rowOff>206684</xdr:rowOff>
    </xdr:from>
    <xdr:to>
      <xdr:col>0</xdr:col>
      <xdr:colOff>1710873</xdr:colOff>
      <xdr:row>17</xdr:row>
      <xdr:rowOff>326829</xdr:rowOff>
    </xdr:to>
    <xdr:grpSp>
      <xdr:nvGrpSpPr>
        <xdr:cNvPr id="20" name="Group 19">
          <a:extLst>
            <a:ext uri="{FF2B5EF4-FFF2-40B4-BE49-F238E27FC236}">
              <a16:creationId xmlns:a16="http://schemas.microsoft.com/office/drawing/2014/main" id="{801A4FDD-B02D-0B93-8DAF-D6107F9D6162}"/>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153EC966-BDA9-2580-A3A2-F49077616069}"/>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69579FC7-3FA1-567D-D64B-ECEFDC21C149}"/>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7CD7A6F3-4F27-447B-6231-12F8783C3509}"/>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A51BBDFD-1D6C-922F-87C1-20D12A8AC704}"/>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17</xdr:row>
      <xdr:rowOff>350935</xdr:rowOff>
    </xdr:from>
    <xdr:to>
      <xdr:col>0</xdr:col>
      <xdr:colOff>1712157</xdr:colOff>
      <xdr:row>18</xdr:row>
      <xdr:rowOff>77067</xdr:rowOff>
    </xdr:to>
    <xdr:grpSp>
      <xdr:nvGrpSpPr>
        <xdr:cNvPr id="21" name="Group 20">
          <a:extLst>
            <a:ext uri="{FF2B5EF4-FFF2-40B4-BE49-F238E27FC236}">
              <a16:creationId xmlns:a16="http://schemas.microsoft.com/office/drawing/2014/main" id="{8146C11E-4F87-E081-25AC-8677F6E2C7D5}"/>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816B72C1-3CFD-7315-D6EC-173D0607F094}"/>
              </a:ext>
            </a:extLst>
          </xdr:cNvPr>
          <xdr:cNvSpPr/>
        </xdr:nvSpPr>
        <xdr:spPr>
          <a:xfrm>
            <a:off x="5190" y="8414633"/>
            <a:ext cx="1709047" cy="449061"/>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0C55A214-B4D4-94B9-6160-0112168186B2}"/>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80" name="Oval 79">
            <a:extLst>
              <a:ext uri="{FF2B5EF4-FFF2-40B4-BE49-F238E27FC236}">
                <a16:creationId xmlns:a16="http://schemas.microsoft.com/office/drawing/2014/main" id="{417FC23F-4BEB-B773-8FDB-275B45488ED4}"/>
              </a:ext>
            </a:extLst>
          </xdr:cNvPr>
          <xdr:cNvSpPr/>
        </xdr:nvSpPr>
        <xdr:spPr>
          <a:xfrm>
            <a:off x="99776" y="8491925"/>
            <a:ext cx="286142" cy="293677"/>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90742ED9-D0C6-D1A2-BE4F-83F36EADB570}"/>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bg1"/>
                </a:solidFill>
              </a:rPr>
              <a:t>Sewage</a:t>
            </a:r>
          </a:p>
        </xdr:txBody>
      </xdr:sp>
    </xdr:grpSp>
    <xdr:clientData/>
  </xdr:twoCellAnchor>
  <xdr:twoCellAnchor>
    <xdr:from>
      <xdr:col>0</xdr:col>
      <xdr:colOff>6038</xdr:colOff>
      <xdr:row>18</xdr:row>
      <xdr:rowOff>89855</xdr:rowOff>
    </xdr:from>
    <xdr:to>
      <xdr:col>0</xdr:col>
      <xdr:colOff>1713207</xdr:colOff>
      <xdr:row>19</xdr:row>
      <xdr:rowOff>25282</xdr:rowOff>
    </xdr:to>
    <xdr:grpSp>
      <xdr:nvGrpSpPr>
        <xdr:cNvPr id="22" name="Group 21">
          <a:extLst>
            <a:ext uri="{FF2B5EF4-FFF2-40B4-BE49-F238E27FC236}">
              <a16:creationId xmlns:a16="http://schemas.microsoft.com/office/drawing/2014/main" id="{62D40F76-0EAB-E790-631A-FA00ADDFA1DE}"/>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CF13E9B1-CE3D-4229-7948-8F039BF856D7}"/>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4B373E2D-83AE-7A60-CB9D-AAD6BA23F1DB}"/>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BCF5312C-E0DF-4980-B19B-D2D1F43FFFD8}"/>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0578F633-1A73-8254-F4A2-AE6E7EE9283C}"/>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19</xdr:row>
      <xdr:rowOff>550490</xdr:rowOff>
    </xdr:from>
    <xdr:to>
      <xdr:col>0</xdr:col>
      <xdr:colOff>1711774</xdr:colOff>
      <xdr:row>22</xdr:row>
      <xdr:rowOff>96253</xdr:rowOff>
    </xdr:to>
    <xdr:grpSp>
      <xdr:nvGrpSpPr>
        <xdr:cNvPr id="23" name="Group 22">
          <a:extLst>
            <a:ext uri="{FF2B5EF4-FFF2-40B4-BE49-F238E27FC236}">
              <a16:creationId xmlns:a16="http://schemas.microsoft.com/office/drawing/2014/main" id="{BB64D6FC-51E2-179A-4A6E-56093CB185A6}"/>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FC195092-2026-337E-A9EA-E54A73C1FB8C}"/>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3892EC02-5193-6525-04B6-06D185190B7A}"/>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589FCA38-7B5B-C91C-F4C9-EE3FD223AA4E}"/>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C101BD24-D556-586B-9D9E-F85BBC44CB36}"/>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19</xdr:row>
      <xdr:rowOff>43265</xdr:rowOff>
    </xdr:from>
    <xdr:to>
      <xdr:col>0</xdr:col>
      <xdr:colOff>1712537</xdr:colOff>
      <xdr:row>19</xdr:row>
      <xdr:rowOff>526211</xdr:rowOff>
    </xdr:to>
    <xdr:grpSp>
      <xdr:nvGrpSpPr>
        <xdr:cNvPr id="24" name="Group 23">
          <a:extLst>
            <a:ext uri="{FF2B5EF4-FFF2-40B4-BE49-F238E27FC236}">
              <a16:creationId xmlns:a16="http://schemas.microsoft.com/office/drawing/2014/main" id="{2D7A2C74-8F92-28D2-3360-B31A8FFD57B1}"/>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A324FBB0-D848-C222-5A99-49075480FCC8}"/>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9BCF969B-0E0C-1973-EE5B-E634C7476C94}"/>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29E66215-2A30-8D7F-22ED-5CA503778EF4}"/>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3C341E84-8B97-D3E7-A868-73F744917B42}"/>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22</xdr:row>
      <xdr:rowOff>104652</xdr:rowOff>
    </xdr:from>
    <xdr:to>
      <xdr:col>0</xdr:col>
      <xdr:colOff>1711005</xdr:colOff>
      <xdr:row>25</xdr:row>
      <xdr:rowOff>47449</xdr:rowOff>
    </xdr:to>
    <xdr:grpSp>
      <xdr:nvGrpSpPr>
        <xdr:cNvPr id="25" name="Group 24">
          <a:extLst>
            <a:ext uri="{FF2B5EF4-FFF2-40B4-BE49-F238E27FC236}">
              <a16:creationId xmlns:a16="http://schemas.microsoft.com/office/drawing/2014/main" id="{2846E72B-1EEF-C2A7-1F05-7E094DB02E35}"/>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5F4F9B5F-0FA3-87C0-6612-CE2D559FA49D}"/>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8C018F09-8F78-2232-D4AB-AAB53D3904DC}"/>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E7CF8E9A-13CD-EC06-0C52-D7F96B2FDE9C}"/>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CDB29A70-46A9-CB73-2B49-AC8695E8341E}"/>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25</xdr:row>
      <xdr:rowOff>64766</xdr:rowOff>
    </xdr:from>
    <xdr:to>
      <xdr:col>0</xdr:col>
      <xdr:colOff>1712668</xdr:colOff>
      <xdr:row>27</xdr:row>
      <xdr:rowOff>152044</xdr:rowOff>
    </xdr:to>
    <xdr:grpSp>
      <xdr:nvGrpSpPr>
        <xdr:cNvPr id="27" name="Group 26">
          <a:extLst>
            <a:ext uri="{FF2B5EF4-FFF2-40B4-BE49-F238E27FC236}">
              <a16:creationId xmlns:a16="http://schemas.microsoft.com/office/drawing/2014/main" id="{91F64739-B9E2-3E9D-77A0-8158D42B25B7}"/>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C0272028-BA54-B231-A3C8-DCCBE2F85DF0}"/>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B481F717-1501-5C77-B778-2689841FE425}"/>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66800846-EECC-F068-31D8-549621718DDB}"/>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15814329-FF80-F626-1CFF-5C1009EB2341}"/>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27</xdr:row>
      <xdr:rowOff>170882</xdr:rowOff>
    </xdr:from>
    <xdr:to>
      <xdr:col>0</xdr:col>
      <xdr:colOff>1711471</xdr:colOff>
      <xdr:row>30</xdr:row>
      <xdr:rowOff>106909</xdr:rowOff>
    </xdr:to>
    <xdr:grpSp>
      <xdr:nvGrpSpPr>
        <xdr:cNvPr id="28" name="Group 27">
          <a:extLst>
            <a:ext uri="{FF2B5EF4-FFF2-40B4-BE49-F238E27FC236}">
              <a16:creationId xmlns:a16="http://schemas.microsoft.com/office/drawing/2014/main" id="{B4A7FCBD-588E-82DA-F217-DD694538D55B}"/>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F255A911-981A-5E43-4CB9-08BB2CA710E7}"/>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4867CDE7-57EC-551D-DD11-98ED2A92BC71}"/>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66BBEDB2-4D56-A90E-271F-48976110F9F8}"/>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5D4C5F09-0506-C944-60A0-535ADC5BF023}"/>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14</xdr:row>
      <xdr:rowOff>494047</xdr:rowOff>
    </xdr:from>
    <xdr:to>
      <xdr:col>0</xdr:col>
      <xdr:colOff>1707169</xdr:colOff>
      <xdr:row>15</xdr:row>
      <xdr:rowOff>242866</xdr:rowOff>
    </xdr:to>
    <xdr:grpSp>
      <xdr:nvGrpSpPr>
        <xdr:cNvPr id="29" name="Group 28">
          <a:extLst>
            <a:ext uri="{FF2B5EF4-FFF2-40B4-BE49-F238E27FC236}">
              <a16:creationId xmlns:a16="http://schemas.microsoft.com/office/drawing/2014/main" id="{BF39C506-E25D-7623-74F3-6ABD60B01FB9}"/>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9F2BE59C-8FC0-6EA6-F721-506BF0FE38AA}"/>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8F327326-D488-EBA3-52B8-9718A56B14A3}"/>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8D0973E1-448A-9D44-F493-2800A7308733}"/>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7FA5944F-0143-9E00-A419-036825C59494}"/>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30</xdr:row>
      <xdr:rowOff>119454</xdr:rowOff>
    </xdr:from>
    <xdr:to>
      <xdr:col>0</xdr:col>
      <xdr:colOff>1711953</xdr:colOff>
      <xdr:row>33</xdr:row>
      <xdr:rowOff>55481</xdr:rowOff>
    </xdr:to>
    <xdr:grpSp>
      <xdr:nvGrpSpPr>
        <xdr:cNvPr id="32" name="Group 31">
          <a:extLst>
            <a:ext uri="{FF2B5EF4-FFF2-40B4-BE49-F238E27FC236}">
              <a16:creationId xmlns:a16="http://schemas.microsoft.com/office/drawing/2014/main" id="{F1497CD6-67E1-F3ED-B024-ACD47D027664}"/>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2DC42FC9-0EB9-DA23-E5D4-5FCDC3C478C2}"/>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0A306F6F-CB20-3CE3-A6B1-78689D68686E}"/>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417ED33B-0FB7-D5E2-065F-F27EAF0C0C86}"/>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921F2A3F-1020-EA38-2090-4A218113D1E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61D27D03-8B08-4083-85DE-84678B186933}"/>
            </a:ext>
          </a:extLst>
        </xdr:cNvPr>
        <xdr:cNvGrpSpPr/>
      </xdr:nvGrpSpPr>
      <xdr:grpSpPr>
        <a:xfrm>
          <a:off x="92964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18475712-651E-7F23-4870-7D8E3B1CA35A}"/>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AE609D83-DBB6-5FE0-0501-528B6D836C47}"/>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33</xdr:row>
      <xdr:rowOff>82550</xdr:rowOff>
    </xdr:from>
    <xdr:to>
      <xdr:col>0</xdr:col>
      <xdr:colOff>1713549</xdr:colOff>
      <xdr:row>45</xdr:row>
      <xdr:rowOff>98857</xdr:rowOff>
    </xdr:to>
    <xdr:grpSp>
      <xdr:nvGrpSpPr>
        <xdr:cNvPr id="163" name="Group 162">
          <a:extLst>
            <a:ext uri="{FF2B5EF4-FFF2-40B4-BE49-F238E27FC236}">
              <a16:creationId xmlns:a16="http://schemas.microsoft.com/office/drawing/2014/main" id="{2D8AD788-0421-40AC-B60D-2BB89825DF12}"/>
            </a:ext>
          </a:extLst>
        </xdr:cNvPr>
        <xdr:cNvGrpSpPr/>
      </xdr:nvGrpSpPr>
      <xdr:grpSpPr>
        <a:xfrm>
          <a:off x="0" y="12452350"/>
          <a:ext cx="1713549" cy="2226107"/>
          <a:chOff x="5137727" y="13144500"/>
          <a:chExt cx="1713549" cy="2252946"/>
        </a:xfrm>
      </xdr:grpSpPr>
      <xdr:grpSp>
        <xdr:nvGrpSpPr>
          <xdr:cNvPr id="164" name="Group 163">
            <a:extLst>
              <a:ext uri="{FF2B5EF4-FFF2-40B4-BE49-F238E27FC236}">
                <a16:creationId xmlns:a16="http://schemas.microsoft.com/office/drawing/2014/main" id="{F4197EE8-DB71-D03B-8FD4-7F5551309EA1}"/>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F4573E08-FEE1-3910-4CE9-6A70A2A513C9}"/>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FC2A28A3-697B-832D-ABC7-0AACE2A81776}"/>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2518287B-5B48-535D-F95C-E4D4E038FDC8}"/>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F5FB6396-B8CB-D14B-DEC7-44F308FB843A}"/>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BFC4D475-5570-ABF2-333F-0CFE7E8396C0}"/>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590DC596-02E9-EDF3-1B98-82F40CF20E58}"/>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C4337073-25D9-BA89-7B36-651408C0CA85}"/>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6621E05D-9E74-9FEA-02E6-5B15F8AA9303}"/>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4F49C2D9-EBC9-521C-7BC4-7BE47DD0FA9C}"/>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3394C7F2-5367-C2CC-46C9-7436F2EA47C4}"/>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D82913AB-BF9F-3075-6DF3-1B289250ED8F}"/>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50146C06-4137-AA2B-09C6-0AE1DC85B569}"/>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BCB638FD-B8D0-3BAD-641F-F45CA527F18C}"/>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6FE2477D-4296-070D-3594-B7F8147DA115}"/>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EA318A6B-68EF-9942-F9BB-DFFE5B03D00E}"/>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F5E6315E-92C2-089C-16B8-6279C0C5FE25}"/>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974D7140-7417-527E-26DB-C4883C72A3F2}"/>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4F47432D-C88B-BA18-3137-77E944C7E34F}"/>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75B9228E-2CC5-D3BB-6C47-F69F1DB01B10}"/>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2E35A4DC-8903-DCD5-8AB0-519F8F66CB8E}"/>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57</xdr:row>
      <xdr:rowOff>63500</xdr:rowOff>
    </xdr:to>
    <xdr:sp macro="" textlink="">
      <xdr:nvSpPr>
        <xdr:cNvPr id="4" name="Rectangle: Rounded Corners 3">
          <a:extLst>
            <a:ext uri="{FF2B5EF4-FFF2-40B4-BE49-F238E27FC236}">
              <a16:creationId xmlns:a16="http://schemas.microsoft.com/office/drawing/2014/main" id="{B43C6240-A74B-75D3-6558-DBE976C47829}"/>
            </a:ext>
          </a:extLst>
        </xdr:cNvPr>
        <xdr:cNvSpPr/>
      </xdr:nvSpPr>
      <xdr:spPr>
        <a:xfrm>
          <a:off x="0" y="0"/>
          <a:ext cx="1841776" cy="14827250"/>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5" name="Group 4">
          <a:extLst>
            <a:ext uri="{FF2B5EF4-FFF2-40B4-BE49-F238E27FC236}">
              <a16:creationId xmlns:a16="http://schemas.microsoft.com/office/drawing/2014/main" id="{51BDAFDF-247D-45A2-8646-463F095E8587}"/>
            </a:ext>
          </a:extLst>
        </xdr:cNvPr>
        <xdr:cNvGrpSpPr/>
      </xdr:nvGrpSpPr>
      <xdr:grpSpPr>
        <a:xfrm>
          <a:off x="11239" y="652572"/>
          <a:ext cx="1704895" cy="451333"/>
          <a:chOff x="17891" y="510932"/>
          <a:chExt cx="1724265" cy="444500"/>
        </a:xfrm>
      </xdr:grpSpPr>
      <xdr:sp macro="" textlink="">
        <xdr:nvSpPr>
          <xdr:cNvPr id="134" name="Rectangle: Rounded Corners 133">
            <a:extLst>
              <a:ext uri="{FF2B5EF4-FFF2-40B4-BE49-F238E27FC236}">
                <a16:creationId xmlns:a16="http://schemas.microsoft.com/office/drawing/2014/main" id="{B3E66EAC-B40F-8CAA-FD75-D28D8906ED29}"/>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1FB9D4E4-DD34-CC8C-DA43-B69BC88D996A}"/>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187C75CE-E162-5648-16B9-AA44665ABA29}"/>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6" name="Graphic 5" descr="Home with solid fill">
          <a:hlinkClick xmlns:r="http://schemas.openxmlformats.org/officeDocument/2006/relationships" r:id="rId2"/>
          <a:extLst>
            <a:ext uri="{FF2B5EF4-FFF2-40B4-BE49-F238E27FC236}">
              <a16:creationId xmlns:a16="http://schemas.microsoft.com/office/drawing/2014/main" id="{D5699222-157F-8AE6-AD37-F99D84DA4B8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253274</xdr:rowOff>
    </xdr:to>
    <xdr:grpSp>
      <xdr:nvGrpSpPr>
        <xdr:cNvPr id="7" name="Group 6">
          <a:extLst>
            <a:ext uri="{FF2B5EF4-FFF2-40B4-BE49-F238E27FC236}">
              <a16:creationId xmlns:a16="http://schemas.microsoft.com/office/drawing/2014/main" id="{2A4FA041-1CC3-B20A-C562-32C4EDCF2E36}"/>
            </a:ext>
          </a:extLst>
        </xdr:cNvPr>
        <xdr:cNvGrpSpPr/>
      </xdr:nvGrpSpPr>
      <xdr:grpSpPr>
        <a:xfrm>
          <a:off x="10917" y="1127622"/>
          <a:ext cx="1704895" cy="446452"/>
          <a:chOff x="23753" y="989136"/>
          <a:chExt cx="1724265" cy="444500"/>
        </a:xfrm>
      </xdr:grpSpPr>
      <xdr:sp macro="" textlink="">
        <xdr:nvSpPr>
          <xdr:cNvPr id="131" name="Rectangle: Rounded Corners 130">
            <a:extLst>
              <a:ext uri="{FF2B5EF4-FFF2-40B4-BE49-F238E27FC236}">
                <a16:creationId xmlns:a16="http://schemas.microsoft.com/office/drawing/2014/main" id="{7F7A5839-BE6C-2E6B-7FD1-4D1B1D10B51C}"/>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97FFE4F2-878D-832D-C242-6A4C7975EC11}"/>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CDB8CDD3-7045-11EB-6425-36612EDBDAB6}"/>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5</xdr:row>
      <xdr:rowOff>46539</xdr:rowOff>
    </xdr:from>
    <xdr:to>
      <xdr:col>0</xdr:col>
      <xdr:colOff>1717958</xdr:colOff>
      <xdr:row>5</xdr:row>
      <xdr:rowOff>494351</xdr:rowOff>
    </xdr:to>
    <xdr:grpSp>
      <xdr:nvGrpSpPr>
        <xdr:cNvPr id="8" name="Group 7">
          <a:extLst>
            <a:ext uri="{FF2B5EF4-FFF2-40B4-BE49-F238E27FC236}">
              <a16:creationId xmlns:a16="http://schemas.microsoft.com/office/drawing/2014/main" id="{481B7E22-2B68-512C-D9AF-BD40F83480D0}"/>
            </a:ext>
          </a:extLst>
        </xdr:cNvPr>
        <xdr:cNvGrpSpPr/>
      </xdr:nvGrpSpPr>
      <xdr:grpSpPr>
        <a:xfrm>
          <a:off x="13063" y="2103939"/>
          <a:ext cx="1704895" cy="447812"/>
          <a:chOff x="13593" y="1983238"/>
          <a:chExt cx="1722818" cy="443309"/>
        </a:xfrm>
      </xdr:grpSpPr>
      <xdr:sp macro="" textlink="">
        <xdr:nvSpPr>
          <xdr:cNvPr id="128" name="Rectangle: Rounded Corners 127">
            <a:extLst>
              <a:ext uri="{FF2B5EF4-FFF2-40B4-BE49-F238E27FC236}">
                <a16:creationId xmlns:a16="http://schemas.microsoft.com/office/drawing/2014/main" id="{1055601D-C408-619E-DA4D-26E5AD45E26F}"/>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3344E80C-2305-2653-CD63-E94CFB60A5D3}"/>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A8B68DFC-70B7-4072-7B7C-F337DB8D12B4}"/>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516002</xdr:rowOff>
    </xdr:from>
    <xdr:to>
      <xdr:col>0</xdr:col>
      <xdr:colOff>1715516</xdr:colOff>
      <xdr:row>6</xdr:row>
      <xdr:rowOff>41227</xdr:rowOff>
    </xdr:to>
    <xdr:grpSp>
      <xdr:nvGrpSpPr>
        <xdr:cNvPr id="9" name="Group 8">
          <a:extLst>
            <a:ext uri="{FF2B5EF4-FFF2-40B4-BE49-F238E27FC236}">
              <a16:creationId xmlns:a16="http://schemas.microsoft.com/office/drawing/2014/main" id="{91E337E6-FF90-983D-9545-B1727ECCA2DD}"/>
            </a:ext>
          </a:extLst>
        </xdr:cNvPr>
        <xdr:cNvGrpSpPr/>
      </xdr:nvGrpSpPr>
      <xdr:grpSpPr>
        <a:xfrm>
          <a:off x="12799" y="2573402"/>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ED002BFE-184B-0D94-8AE4-367DF301510D}"/>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B6842436-A0EB-1003-44DE-E9F7173A9942}"/>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520F64B2-2E39-3258-C23F-19EA983C1A86}"/>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6</xdr:row>
      <xdr:rowOff>55506</xdr:rowOff>
    </xdr:from>
    <xdr:to>
      <xdr:col>0</xdr:col>
      <xdr:colOff>1713076</xdr:colOff>
      <xdr:row>6</xdr:row>
      <xdr:rowOff>514352</xdr:rowOff>
    </xdr:to>
    <xdr:grpSp>
      <xdr:nvGrpSpPr>
        <xdr:cNvPr id="10" name="Group 9">
          <a:extLst>
            <a:ext uri="{FF2B5EF4-FFF2-40B4-BE49-F238E27FC236}">
              <a16:creationId xmlns:a16="http://schemas.microsoft.com/office/drawing/2014/main" id="{6D59F326-DE01-052C-07E7-6C7E73D13CF0}"/>
            </a:ext>
          </a:extLst>
        </xdr:cNvPr>
        <xdr:cNvGrpSpPr/>
      </xdr:nvGrpSpPr>
      <xdr:grpSpPr>
        <a:xfrm>
          <a:off x="8181" y="3033656"/>
          <a:ext cx="1704895" cy="458846"/>
          <a:chOff x="8513" y="2976867"/>
          <a:chExt cx="1722818" cy="451725"/>
        </a:xfrm>
      </xdr:grpSpPr>
      <xdr:sp macro="" textlink="">
        <xdr:nvSpPr>
          <xdr:cNvPr id="121" name="Rectangle: Rounded Corners 120">
            <a:extLst>
              <a:ext uri="{FF2B5EF4-FFF2-40B4-BE49-F238E27FC236}">
                <a16:creationId xmlns:a16="http://schemas.microsoft.com/office/drawing/2014/main" id="{44051FA6-A8DD-22DF-3A23-18C1E89DFFFE}"/>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475D72E9-5FB2-619D-502E-F8785052B574}"/>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BA871313-C0A3-41DF-14BF-14DB6451E7E4}"/>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F0703748-565E-57F4-D2A3-73EC35CE89F7}"/>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275575</xdr:rowOff>
    </xdr:from>
    <xdr:to>
      <xdr:col>0</xdr:col>
      <xdr:colOff>1716667</xdr:colOff>
      <xdr:row>5</xdr:row>
      <xdr:rowOff>25914</xdr:rowOff>
    </xdr:to>
    <xdr:grpSp>
      <xdr:nvGrpSpPr>
        <xdr:cNvPr id="11" name="Group 10">
          <a:extLst>
            <a:ext uri="{FF2B5EF4-FFF2-40B4-BE49-F238E27FC236}">
              <a16:creationId xmlns:a16="http://schemas.microsoft.com/office/drawing/2014/main" id="{39C1DD0C-C139-2B42-3C5A-F4FC50556789}"/>
            </a:ext>
          </a:extLst>
        </xdr:cNvPr>
        <xdr:cNvGrpSpPr/>
      </xdr:nvGrpSpPr>
      <xdr:grpSpPr>
        <a:xfrm>
          <a:off x="11772" y="1596375"/>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F83A1200-1A1E-3FB9-280C-48FCC6F2CB0F}"/>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71F6FC17-EDA2-D5E8-5E52-8DDD0EE81479}"/>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71FAAEB6-1FD8-47E3-4F1A-D6BED950F7DB}"/>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6</xdr:row>
      <xdr:rowOff>527536</xdr:rowOff>
    </xdr:from>
    <xdr:to>
      <xdr:col>0</xdr:col>
      <xdr:colOff>1713094</xdr:colOff>
      <xdr:row>7</xdr:row>
      <xdr:rowOff>274455</xdr:rowOff>
    </xdr:to>
    <xdr:grpSp>
      <xdr:nvGrpSpPr>
        <xdr:cNvPr id="12" name="Group 11">
          <a:extLst>
            <a:ext uri="{FF2B5EF4-FFF2-40B4-BE49-F238E27FC236}">
              <a16:creationId xmlns:a16="http://schemas.microsoft.com/office/drawing/2014/main" id="{C447AF5C-04B0-5DAE-AB5F-118C1FD63800}"/>
            </a:ext>
          </a:extLst>
        </xdr:cNvPr>
        <xdr:cNvGrpSpPr/>
      </xdr:nvGrpSpPr>
      <xdr:grpSpPr>
        <a:xfrm>
          <a:off x="8199" y="3505686"/>
          <a:ext cx="1704895" cy="483519"/>
          <a:chOff x="8532" y="3456662"/>
          <a:chExt cx="1722818" cy="482122"/>
        </a:xfrm>
      </xdr:grpSpPr>
      <xdr:sp macro="" textlink="">
        <xdr:nvSpPr>
          <xdr:cNvPr id="114" name="Rectangle: Rounded Corners 113">
            <a:extLst>
              <a:ext uri="{FF2B5EF4-FFF2-40B4-BE49-F238E27FC236}">
                <a16:creationId xmlns:a16="http://schemas.microsoft.com/office/drawing/2014/main" id="{A93092DF-8DA4-AB3A-FB9B-6163F56AAF23}"/>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F8D63ED1-8E4F-C16D-97B5-327E0A9993C2}"/>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BC0A52DC-322C-8248-0D40-9D0C51C09963}"/>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919919EB-A2AA-98CA-C43E-1DDC6000F2C6}"/>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7</xdr:row>
      <xdr:rowOff>287253</xdr:rowOff>
    </xdr:from>
    <xdr:to>
      <xdr:col>0</xdr:col>
      <xdr:colOff>1713246</xdr:colOff>
      <xdr:row>8</xdr:row>
      <xdr:rowOff>380760</xdr:rowOff>
    </xdr:to>
    <xdr:grpSp>
      <xdr:nvGrpSpPr>
        <xdr:cNvPr id="13" name="Group 12">
          <a:extLst>
            <a:ext uri="{FF2B5EF4-FFF2-40B4-BE49-F238E27FC236}">
              <a16:creationId xmlns:a16="http://schemas.microsoft.com/office/drawing/2014/main" id="{5FAE4D04-9C12-F568-0518-E34EF72ADA33}"/>
            </a:ext>
          </a:extLst>
        </xdr:cNvPr>
        <xdr:cNvGrpSpPr/>
      </xdr:nvGrpSpPr>
      <xdr:grpSpPr>
        <a:xfrm>
          <a:off x="6077" y="4002003"/>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A1472728-031C-0A4F-A9D9-34C0DD8A52B2}"/>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AB71E5F5-D3FD-8EC9-F415-F723D6C9A3A4}"/>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583972EC-E1C1-AB55-EF98-325C3499B8A7}"/>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369E51CD-402E-88F1-574C-39729EEDDBE7}"/>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8</xdr:row>
      <xdr:rowOff>397990</xdr:rowOff>
    </xdr:from>
    <xdr:to>
      <xdr:col>0</xdr:col>
      <xdr:colOff>1709917</xdr:colOff>
      <xdr:row>9</xdr:row>
      <xdr:rowOff>156008</xdr:rowOff>
    </xdr:to>
    <xdr:grpSp>
      <xdr:nvGrpSpPr>
        <xdr:cNvPr id="14" name="Group 13">
          <a:extLst>
            <a:ext uri="{FF2B5EF4-FFF2-40B4-BE49-F238E27FC236}">
              <a16:creationId xmlns:a16="http://schemas.microsoft.com/office/drawing/2014/main" id="{0BD601EB-DD3D-932A-10B7-CDB5B3788AEF}"/>
            </a:ext>
          </a:extLst>
        </xdr:cNvPr>
        <xdr:cNvGrpSpPr/>
      </xdr:nvGrpSpPr>
      <xdr:grpSpPr>
        <a:xfrm>
          <a:off x="2748" y="4481040"/>
          <a:ext cx="1707169" cy="494618"/>
          <a:chOff x="2860" y="4442071"/>
          <a:chExt cx="1725184" cy="485874"/>
        </a:xfrm>
      </xdr:grpSpPr>
      <xdr:sp macro="" textlink="">
        <xdr:nvSpPr>
          <xdr:cNvPr id="106" name="Rectangle: Rounded Corners 105">
            <a:extLst>
              <a:ext uri="{FF2B5EF4-FFF2-40B4-BE49-F238E27FC236}">
                <a16:creationId xmlns:a16="http://schemas.microsoft.com/office/drawing/2014/main" id="{0A942C0A-1EA2-7F4F-4687-CD30E07BD392}"/>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9A74751D-2BA1-5C16-4CE1-BAB0B2528CC2}"/>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A0032925-23CE-4859-C8BC-DBBF86E75119}"/>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1DF1FB97-9F8E-0C17-19E2-FD5FB1D94EB9}"/>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9</xdr:row>
      <xdr:rowOff>178347</xdr:rowOff>
    </xdr:from>
    <xdr:to>
      <xdr:col>0</xdr:col>
      <xdr:colOff>1709302</xdr:colOff>
      <xdr:row>10</xdr:row>
      <xdr:rowOff>82231</xdr:rowOff>
    </xdr:to>
    <xdr:grpSp>
      <xdr:nvGrpSpPr>
        <xdr:cNvPr id="15" name="Group 14">
          <a:extLst>
            <a:ext uri="{FF2B5EF4-FFF2-40B4-BE49-F238E27FC236}">
              <a16:creationId xmlns:a16="http://schemas.microsoft.com/office/drawing/2014/main" id="{CE3D9FCE-FDB5-E7B2-66AB-566BAA4184F8}"/>
            </a:ext>
          </a:extLst>
        </xdr:cNvPr>
        <xdr:cNvGrpSpPr/>
      </xdr:nvGrpSpPr>
      <xdr:grpSpPr>
        <a:xfrm>
          <a:off x="2133" y="4997997"/>
          <a:ext cx="1707169" cy="456334"/>
          <a:chOff x="2219" y="4949272"/>
          <a:chExt cx="1725184" cy="456170"/>
        </a:xfrm>
      </xdr:grpSpPr>
      <xdr:sp macro="" textlink="">
        <xdr:nvSpPr>
          <xdr:cNvPr id="102" name="Rectangle: Rounded Corners 101">
            <a:extLst>
              <a:ext uri="{FF2B5EF4-FFF2-40B4-BE49-F238E27FC236}">
                <a16:creationId xmlns:a16="http://schemas.microsoft.com/office/drawing/2014/main" id="{B136A395-91C0-8D5F-54B2-17C42AAD1BF4}"/>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354DF308-4664-FA70-D6B3-300D383D6DC4}"/>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2A65E448-1B8E-E275-705A-10C960A2EC27}"/>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851218C1-CCEE-EE4C-ECE8-52273A260621}"/>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10</xdr:row>
      <xdr:rowOff>101148</xdr:rowOff>
    </xdr:from>
    <xdr:to>
      <xdr:col>0</xdr:col>
      <xdr:colOff>1709298</xdr:colOff>
      <xdr:row>11</xdr:row>
      <xdr:rowOff>222194</xdr:rowOff>
    </xdr:to>
    <xdr:grpSp>
      <xdr:nvGrpSpPr>
        <xdr:cNvPr id="16" name="Group 15">
          <a:extLst>
            <a:ext uri="{FF2B5EF4-FFF2-40B4-BE49-F238E27FC236}">
              <a16:creationId xmlns:a16="http://schemas.microsoft.com/office/drawing/2014/main" id="{406AE30A-659D-D27B-1B0A-7E16AE6A4A9D}"/>
            </a:ext>
          </a:extLst>
        </xdr:cNvPr>
        <xdr:cNvGrpSpPr/>
      </xdr:nvGrpSpPr>
      <xdr:grpSpPr>
        <a:xfrm>
          <a:off x="2129" y="5473248"/>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E5A04F0F-F190-7AAE-5DAE-19C3C33A25CD}"/>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6CE48CD8-4D32-369E-F744-412E6AFF145A}"/>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8B6F3B5B-9E69-761A-D0C1-CABA6D895D0B}"/>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C0437B70-66C6-23EF-D65C-408CD276AB30}"/>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11</xdr:row>
      <xdr:rowOff>240049</xdr:rowOff>
    </xdr:from>
    <xdr:to>
      <xdr:col>0</xdr:col>
      <xdr:colOff>1709296</xdr:colOff>
      <xdr:row>11</xdr:row>
      <xdr:rowOff>734667</xdr:rowOff>
    </xdr:to>
    <xdr:grpSp>
      <xdr:nvGrpSpPr>
        <xdr:cNvPr id="17" name="Group 16">
          <a:extLst>
            <a:ext uri="{FF2B5EF4-FFF2-40B4-BE49-F238E27FC236}">
              <a16:creationId xmlns:a16="http://schemas.microsoft.com/office/drawing/2014/main" id="{B2B04313-C575-0BE8-395C-C808F79A39B0}"/>
            </a:ext>
          </a:extLst>
        </xdr:cNvPr>
        <xdr:cNvGrpSpPr/>
      </xdr:nvGrpSpPr>
      <xdr:grpSpPr>
        <a:xfrm>
          <a:off x="2127" y="5980449"/>
          <a:ext cx="1707169" cy="494618"/>
          <a:chOff x="2213" y="5938772"/>
          <a:chExt cx="1725184" cy="485874"/>
        </a:xfrm>
      </xdr:grpSpPr>
      <xdr:sp macro="" textlink="">
        <xdr:nvSpPr>
          <xdr:cNvPr id="94" name="Rectangle: Rounded Corners 93">
            <a:extLst>
              <a:ext uri="{FF2B5EF4-FFF2-40B4-BE49-F238E27FC236}">
                <a16:creationId xmlns:a16="http://schemas.microsoft.com/office/drawing/2014/main" id="{07794833-501D-4F64-D98A-424A336392F1}"/>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AF302CE7-32CF-E9F0-AB0B-1B2D34102414}"/>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2DAA1D28-933B-5CC0-35F5-73F81BEA13CC}"/>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345373A7-2CC4-5D8A-7AC2-679FFFE92CA2}"/>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12</xdr:row>
      <xdr:rowOff>17857</xdr:rowOff>
    </xdr:from>
    <xdr:to>
      <xdr:col>0</xdr:col>
      <xdr:colOff>1708011</xdr:colOff>
      <xdr:row>14</xdr:row>
      <xdr:rowOff>106681</xdr:rowOff>
    </xdr:to>
    <xdr:grpSp>
      <xdr:nvGrpSpPr>
        <xdr:cNvPr id="18" name="Group 17">
          <a:extLst>
            <a:ext uri="{FF2B5EF4-FFF2-40B4-BE49-F238E27FC236}">
              <a16:creationId xmlns:a16="http://schemas.microsoft.com/office/drawing/2014/main" id="{FBDDC12E-DB82-24F8-A821-9968B5DBEDD5}"/>
            </a:ext>
          </a:extLst>
        </xdr:cNvPr>
        <xdr:cNvGrpSpPr/>
      </xdr:nvGrpSpPr>
      <xdr:grpSpPr>
        <a:xfrm>
          <a:off x="842" y="6494857"/>
          <a:ext cx="1707169" cy="457124"/>
          <a:chOff x="876" y="6443539"/>
          <a:chExt cx="1725184" cy="456924"/>
        </a:xfrm>
      </xdr:grpSpPr>
      <xdr:sp macro="" textlink="">
        <xdr:nvSpPr>
          <xdr:cNvPr id="90" name="Rectangle: Rounded Corners 89">
            <a:extLst>
              <a:ext uri="{FF2B5EF4-FFF2-40B4-BE49-F238E27FC236}">
                <a16:creationId xmlns:a16="http://schemas.microsoft.com/office/drawing/2014/main" id="{3A2D1BE5-65C1-C363-594D-96283E465E0F}"/>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ABBA1808-DD08-17E3-3C87-3A69F9020524}"/>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AF8F2D84-AE34-876E-DE66-35DA99C505B3}"/>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A58479AD-A6EF-1C3D-352C-E075A4613075}"/>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17</xdr:row>
      <xdr:rowOff>82193</xdr:rowOff>
    </xdr:from>
    <xdr:to>
      <xdr:col>0</xdr:col>
      <xdr:colOff>1708946</xdr:colOff>
      <xdr:row>19</xdr:row>
      <xdr:rowOff>179136</xdr:rowOff>
    </xdr:to>
    <xdr:grpSp>
      <xdr:nvGrpSpPr>
        <xdr:cNvPr id="19" name="Group 18">
          <a:extLst>
            <a:ext uri="{FF2B5EF4-FFF2-40B4-BE49-F238E27FC236}">
              <a16:creationId xmlns:a16="http://schemas.microsoft.com/office/drawing/2014/main" id="{6C5D9CFD-2EA5-E385-2F82-FCA2580DEF95}"/>
            </a:ext>
          </a:extLst>
        </xdr:cNvPr>
        <xdr:cNvGrpSpPr/>
      </xdr:nvGrpSpPr>
      <xdr:grpSpPr>
        <a:xfrm>
          <a:off x="1777" y="7479943"/>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A96B7F25-D626-364A-1F26-01BA2C98832D}"/>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ACAC388D-C61E-109B-4AC3-69C3C83AD546}"/>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054E3D80-68DC-8767-1059-4027532B9BE7}"/>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6B32279D-1424-4F38-293E-2206FDF425A6}"/>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20</xdr:row>
      <xdr:rowOff>22534</xdr:rowOff>
    </xdr:from>
    <xdr:to>
      <xdr:col>0</xdr:col>
      <xdr:colOff>1710873</xdr:colOff>
      <xdr:row>22</xdr:row>
      <xdr:rowOff>142679</xdr:rowOff>
    </xdr:to>
    <xdr:grpSp>
      <xdr:nvGrpSpPr>
        <xdr:cNvPr id="20" name="Group 19">
          <a:extLst>
            <a:ext uri="{FF2B5EF4-FFF2-40B4-BE49-F238E27FC236}">
              <a16:creationId xmlns:a16="http://schemas.microsoft.com/office/drawing/2014/main" id="{C0720262-11D4-C4E6-85E9-C3BD0B0C1953}"/>
            </a:ext>
          </a:extLst>
        </xdr:cNvPr>
        <xdr:cNvGrpSpPr/>
      </xdr:nvGrpSpPr>
      <xdr:grpSpPr>
        <a:xfrm>
          <a:off x="3704" y="7972734"/>
          <a:ext cx="1707169" cy="488445"/>
          <a:chOff x="3854" y="7898602"/>
          <a:chExt cx="1725184" cy="486825"/>
        </a:xfrm>
      </xdr:grpSpPr>
      <xdr:sp macro="" textlink="">
        <xdr:nvSpPr>
          <xdr:cNvPr id="82" name="Rectangle: Rounded Corners 81">
            <a:extLst>
              <a:ext uri="{FF2B5EF4-FFF2-40B4-BE49-F238E27FC236}">
                <a16:creationId xmlns:a16="http://schemas.microsoft.com/office/drawing/2014/main" id="{691895B5-2CB1-1036-D841-7408DDC6259F}"/>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F74AD10C-7AB3-D206-E8C1-66BD1A3E432E}"/>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D2311414-4342-0FEF-F5A8-C3672821417B}"/>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A58043E7-8DD1-B069-9959-A97A4B434809}"/>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22</xdr:row>
      <xdr:rowOff>166785</xdr:rowOff>
    </xdr:from>
    <xdr:to>
      <xdr:col>0</xdr:col>
      <xdr:colOff>1712157</xdr:colOff>
      <xdr:row>25</xdr:row>
      <xdr:rowOff>77067</xdr:rowOff>
    </xdr:to>
    <xdr:grpSp>
      <xdr:nvGrpSpPr>
        <xdr:cNvPr id="21" name="Group 20">
          <a:extLst>
            <a:ext uri="{FF2B5EF4-FFF2-40B4-BE49-F238E27FC236}">
              <a16:creationId xmlns:a16="http://schemas.microsoft.com/office/drawing/2014/main" id="{7CEB5EC8-328B-7014-C396-29CC9AB36292}"/>
            </a:ext>
          </a:extLst>
        </xdr:cNvPr>
        <xdr:cNvGrpSpPr/>
      </xdr:nvGrpSpPr>
      <xdr:grpSpPr>
        <a:xfrm>
          <a:off x="4988" y="8485285"/>
          <a:ext cx="1707169" cy="462732"/>
          <a:chOff x="5190" y="8408439"/>
          <a:chExt cx="1725184" cy="455434"/>
        </a:xfrm>
      </xdr:grpSpPr>
      <xdr:sp macro="" textlink="">
        <xdr:nvSpPr>
          <xdr:cNvPr id="78" name="Rectangle: Rounded Corners 77">
            <a:extLst>
              <a:ext uri="{FF2B5EF4-FFF2-40B4-BE49-F238E27FC236}">
                <a16:creationId xmlns:a16="http://schemas.microsoft.com/office/drawing/2014/main" id="{FE99AA49-FB57-616F-CF36-B9EBD08E714F}"/>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09071F06-E119-1B65-1AA1-5F85938CAD19}"/>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F0B9ED91-5B86-44B1-382B-D88EEF687007}"/>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BE0E630D-6D1C-C486-E046-2F09C5B4485F}"/>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25</xdr:row>
      <xdr:rowOff>89855</xdr:rowOff>
    </xdr:from>
    <xdr:to>
      <xdr:col>0</xdr:col>
      <xdr:colOff>1713207</xdr:colOff>
      <xdr:row>28</xdr:row>
      <xdr:rowOff>25282</xdr:rowOff>
    </xdr:to>
    <xdr:grpSp>
      <xdr:nvGrpSpPr>
        <xdr:cNvPr id="22" name="Group 21">
          <a:extLst>
            <a:ext uri="{FF2B5EF4-FFF2-40B4-BE49-F238E27FC236}">
              <a16:creationId xmlns:a16="http://schemas.microsoft.com/office/drawing/2014/main" id="{3F419436-A5AC-C2C8-47DF-483C602CAB41}"/>
            </a:ext>
          </a:extLst>
        </xdr:cNvPr>
        <xdr:cNvGrpSpPr/>
      </xdr:nvGrpSpPr>
      <xdr:grpSpPr>
        <a:xfrm>
          <a:off x="6038" y="8960805"/>
          <a:ext cx="1707169" cy="487877"/>
          <a:chOff x="6283" y="8882925"/>
          <a:chExt cx="1725184" cy="479438"/>
        </a:xfrm>
      </xdr:grpSpPr>
      <xdr:sp macro="" textlink="">
        <xdr:nvSpPr>
          <xdr:cNvPr id="74" name="Rectangle: Rounded Corners 73">
            <a:extLst>
              <a:ext uri="{FF2B5EF4-FFF2-40B4-BE49-F238E27FC236}">
                <a16:creationId xmlns:a16="http://schemas.microsoft.com/office/drawing/2014/main" id="{107DE522-A80A-5DB7-3FCC-F6A7673EA878}"/>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E7EA64A0-9ED1-ECC9-686D-5DFD6032D822}"/>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25DC4C0B-29B2-BF45-130F-34512CF66D08}"/>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C4C11A7D-6F64-A105-EEF1-11B1C95A3A3B}"/>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30</xdr:row>
      <xdr:rowOff>182190</xdr:rowOff>
    </xdr:from>
    <xdr:to>
      <xdr:col>0</xdr:col>
      <xdr:colOff>1711774</xdr:colOff>
      <xdr:row>33</xdr:row>
      <xdr:rowOff>96253</xdr:rowOff>
    </xdr:to>
    <xdr:grpSp>
      <xdr:nvGrpSpPr>
        <xdr:cNvPr id="23" name="Group 22">
          <a:extLst>
            <a:ext uri="{FF2B5EF4-FFF2-40B4-BE49-F238E27FC236}">
              <a16:creationId xmlns:a16="http://schemas.microsoft.com/office/drawing/2014/main" id="{F2B4E818-A977-4AAE-C4E3-F9EA2DC93267}"/>
            </a:ext>
          </a:extLst>
        </xdr:cNvPr>
        <xdr:cNvGrpSpPr/>
      </xdr:nvGrpSpPr>
      <xdr:grpSpPr>
        <a:xfrm>
          <a:off x="4605" y="9973890"/>
          <a:ext cx="1707169" cy="466513"/>
          <a:chOff x="4792" y="9884285"/>
          <a:chExt cx="1725184" cy="459044"/>
        </a:xfrm>
      </xdr:grpSpPr>
      <xdr:sp macro="" textlink="">
        <xdr:nvSpPr>
          <xdr:cNvPr id="70" name="Rectangle: Rounded Corners 69">
            <a:extLst>
              <a:ext uri="{FF2B5EF4-FFF2-40B4-BE49-F238E27FC236}">
                <a16:creationId xmlns:a16="http://schemas.microsoft.com/office/drawing/2014/main" id="{14DF6730-E72E-22C7-3557-A1E7A916472D}"/>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CDBFB3C7-639C-54A6-A68C-783A2CE8084A}"/>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FC7D7C1C-4DA2-A743-A54E-03299DF5F9FB}"/>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D1A22A61-3E7B-010F-0618-FC81C81E3F76}"/>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28</xdr:row>
      <xdr:rowOff>43265</xdr:rowOff>
    </xdr:from>
    <xdr:to>
      <xdr:col>0</xdr:col>
      <xdr:colOff>1712537</xdr:colOff>
      <xdr:row>30</xdr:row>
      <xdr:rowOff>157911</xdr:rowOff>
    </xdr:to>
    <xdr:grpSp>
      <xdr:nvGrpSpPr>
        <xdr:cNvPr id="24" name="Group 23">
          <a:extLst>
            <a:ext uri="{FF2B5EF4-FFF2-40B4-BE49-F238E27FC236}">
              <a16:creationId xmlns:a16="http://schemas.microsoft.com/office/drawing/2014/main" id="{75C0E474-DA1B-0D03-6C78-889B63A895B5}"/>
            </a:ext>
          </a:extLst>
        </xdr:cNvPr>
        <xdr:cNvGrpSpPr/>
      </xdr:nvGrpSpPr>
      <xdr:grpSpPr>
        <a:xfrm>
          <a:off x="5368" y="9466665"/>
          <a:ext cx="1707169" cy="482946"/>
          <a:chOff x="5586" y="9379532"/>
          <a:chExt cx="1725184" cy="481576"/>
        </a:xfrm>
      </xdr:grpSpPr>
      <xdr:sp macro="" textlink="">
        <xdr:nvSpPr>
          <xdr:cNvPr id="66" name="Rectangle: Rounded Corners 65">
            <a:extLst>
              <a:ext uri="{FF2B5EF4-FFF2-40B4-BE49-F238E27FC236}">
                <a16:creationId xmlns:a16="http://schemas.microsoft.com/office/drawing/2014/main" id="{C8FA4E8A-5AAC-53DC-AE28-646BDD26BB95}"/>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AC20AC08-30F4-F5DD-AD8A-DBF2A7F4164A}"/>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D9610482-2F8B-60F6-30EF-3C8BFBDBC289}"/>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2B4CB7C3-B9B1-93C3-24F9-2F66E33526FB}"/>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33</xdr:row>
      <xdr:rowOff>104652</xdr:rowOff>
    </xdr:from>
    <xdr:to>
      <xdr:col>0</xdr:col>
      <xdr:colOff>1711005</xdr:colOff>
      <xdr:row>36</xdr:row>
      <xdr:rowOff>47449</xdr:rowOff>
    </xdr:to>
    <xdr:grpSp>
      <xdr:nvGrpSpPr>
        <xdr:cNvPr id="25" name="Group 24">
          <a:extLst>
            <a:ext uri="{FF2B5EF4-FFF2-40B4-BE49-F238E27FC236}">
              <a16:creationId xmlns:a16="http://schemas.microsoft.com/office/drawing/2014/main" id="{6A209CE4-9CED-DE00-FB78-7CB725411347}"/>
            </a:ext>
          </a:extLst>
        </xdr:cNvPr>
        <xdr:cNvGrpSpPr/>
      </xdr:nvGrpSpPr>
      <xdr:grpSpPr>
        <a:xfrm>
          <a:off x="3836" y="10448802"/>
          <a:ext cx="1707169" cy="495247"/>
          <a:chOff x="3992" y="10358190"/>
          <a:chExt cx="1725184" cy="486476"/>
        </a:xfrm>
      </xdr:grpSpPr>
      <xdr:sp macro="" textlink="">
        <xdr:nvSpPr>
          <xdr:cNvPr id="62" name="Rectangle: Rounded Corners 61">
            <a:extLst>
              <a:ext uri="{FF2B5EF4-FFF2-40B4-BE49-F238E27FC236}">
                <a16:creationId xmlns:a16="http://schemas.microsoft.com/office/drawing/2014/main" id="{4618B033-661D-4F2B-80DD-F413229A1DD0}"/>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EE81BE9A-DA65-B6D7-AEEB-84EC41D129A2}"/>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84B4A8B2-7556-84CD-C680-425AE726F27A}"/>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5D488902-C545-BA6D-8D95-B0A92790C7C6}"/>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36</xdr:row>
      <xdr:rowOff>64766</xdr:rowOff>
    </xdr:from>
    <xdr:to>
      <xdr:col>0</xdr:col>
      <xdr:colOff>1712668</xdr:colOff>
      <xdr:row>38</xdr:row>
      <xdr:rowOff>152044</xdr:rowOff>
    </xdr:to>
    <xdr:grpSp>
      <xdr:nvGrpSpPr>
        <xdr:cNvPr id="27" name="Group 26">
          <a:extLst>
            <a:ext uri="{FF2B5EF4-FFF2-40B4-BE49-F238E27FC236}">
              <a16:creationId xmlns:a16="http://schemas.microsoft.com/office/drawing/2014/main" id="{CEAE63F7-CF95-709F-9221-C829E33BE524}"/>
            </a:ext>
          </a:extLst>
        </xdr:cNvPr>
        <xdr:cNvGrpSpPr/>
      </xdr:nvGrpSpPr>
      <xdr:grpSpPr>
        <a:xfrm>
          <a:off x="5499" y="10961366"/>
          <a:ext cx="1707169" cy="455578"/>
          <a:chOff x="5723" y="10874564"/>
          <a:chExt cx="1725184" cy="455447"/>
        </a:xfrm>
      </xdr:grpSpPr>
      <xdr:sp macro="" textlink="">
        <xdr:nvSpPr>
          <xdr:cNvPr id="54" name="Rectangle: Rounded Corners 53">
            <a:extLst>
              <a:ext uri="{FF2B5EF4-FFF2-40B4-BE49-F238E27FC236}">
                <a16:creationId xmlns:a16="http://schemas.microsoft.com/office/drawing/2014/main" id="{90AE3E5A-6431-3EC9-0078-66262AC4999A}"/>
              </a:ext>
            </a:extLst>
          </xdr:cNvPr>
          <xdr:cNvSpPr/>
        </xdr:nvSpPr>
        <xdr:spPr>
          <a:xfrm>
            <a:off x="5723" y="10880778"/>
            <a:ext cx="1709061" cy="449053"/>
          </a:xfrm>
          <a:prstGeom prst="roundRect">
            <a:avLst>
              <a:gd name="adj" fmla="val 6708"/>
            </a:avLst>
          </a:prstGeom>
          <a:solidFill>
            <a:schemeClr val="accent6">
              <a:lumMod val="7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4"/>
            <a:extLst>
              <a:ext uri="{FF2B5EF4-FFF2-40B4-BE49-F238E27FC236}">
                <a16:creationId xmlns:a16="http://schemas.microsoft.com/office/drawing/2014/main" id="{DC56DA05-1BC1-6E72-6E34-BF1247F30EC3}"/>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56" name="Oval 55">
            <a:extLst>
              <a:ext uri="{FF2B5EF4-FFF2-40B4-BE49-F238E27FC236}">
                <a16:creationId xmlns:a16="http://schemas.microsoft.com/office/drawing/2014/main" id="{944F50B4-8860-A18D-F209-C64A3B9EB04C}"/>
              </a:ext>
            </a:extLst>
          </xdr:cNvPr>
          <xdr:cNvSpPr/>
        </xdr:nvSpPr>
        <xdr:spPr>
          <a:xfrm>
            <a:off x="100230" y="10958319"/>
            <a:ext cx="285902" cy="293170"/>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4"/>
            <a:extLst>
              <a:ext uri="{FF2B5EF4-FFF2-40B4-BE49-F238E27FC236}">
                <a16:creationId xmlns:a16="http://schemas.microsoft.com/office/drawing/2014/main" id="{737906CB-104C-DC20-5813-E3A238AB6E95}"/>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Refrigerant</a:t>
            </a:r>
          </a:p>
        </xdr:txBody>
      </xdr:sp>
    </xdr:grpSp>
    <xdr:clientData/>
  </xdr:twoCellAnchor>
  <xdr:twoCellAnchor>
    <xdr:from>
      <xdr:col>0</xdr:col>
      <xdr:colOff>4302</xdr:colOff>
      <xdr:row>38</xdr:row>
      <xdr:rowOff>170882</xdr:rowOff>
    </xdr:from>
    <xdr:to>
      <xdr:col>0</xdr:col>
      <xdr:colOff>1711471</xdr:colOff>
      <xdr:row>41</xdr:row>
      <xdr:rowOff>106909</xdr:rowOff>
    </xdr:to>
    <xdr:grpSp>
      <xdr:nvGrpSpPr>
        <xdr:cNvPr id="28" name="Group 27">
          <a:extLst>
            <a:ext uri="{FF2B5EF4-FFF2-40B4-BE49-F238E27FC236}">
              <a16:creationId xmlns:a16="http://schemas.microsoft.com/office/drawing/2014/main" id="{8D6F9FA6-B52F-F3EE-5E56-BDD009BB5180}"/>
            </a:ext>
          </a:extLst>
        </xdr:cNvPr>
        <xdr:cNvGrpSpPr/>
      </xdr:nvGrpSpPr>
      <xdr:grpSpPr>
        <a:xfrm>
          <a:off x="4302" y="11435782"/>
          <a:ext cx="1707169" cy="488477"/>
          <a:chOff x="4477" y="11347997"/>
          <a:chExt cx="1725184" cy="480012"/>
        </a:xfrm>
      </xdr:grpSpPr>
      <xdr:sp macro="" textlink="">
        <xdr:nvSpPr>
          <xdr:cNvPr id="50" name="Rectangle: Rounded Corners 49">
            <a:extLst>
              <a:ext uri="{FF2B5EF4-FFF2-40B4-BE49-F238E27FC236}">
                <a16:creationId xmlns:a16="http://schemas.microsoft.com/office/drawing/2014/main" id="{3779694D-8D84-B50F-E60B-85ACE787333C}"/>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5"/>
            <a:extLst>
              <a:ext uri="{FF2B5EF4-FFF2-40B4-BE49-F238E27FC236}">
                <a16:creationId xmlns:a16="http://schemas.microsoft.com/office/drawing/2014/main" id="{0254586D-4797-15D4-C6D1-397D5B6E6C03}"/>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06E69A2B-6D67-ED0C-1974-B52F4FF9FE80}"/>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5"/>
            <a:extLst>
              <a:ext uri="{FF2B5EF4-FFF2-40B4-BE49-F238E27FC236}">
                <a16:creationId xmlns:a16="http://schemas.microsoft.com/office/drawing/2014/main" id="{D4484BFF-89D5-322C-0FF6-282960A6EA18}"/>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14</xdr:row>
      <xdr:rowOff>125747</xdr:rowOff>
    </xdr:from>
    <xdr:to>
      <xdr:col>0</xdr:col>
      <xdr:colOff>1707169</xdr:colOff>
      <xdr:row>17</xdr:row>
      <xdr:rowOff>58716</xdr:rowOff>
    </xdr:to>
    <xdr:grpSp>
      <xdr:nvGrpSpPr>
        <xdr:cNvPr id="29" name="Group 28">
          <a:extLst>
            <a:ext uri="{FF2B5EF4-FFF2-40B4-BE49-F238E27FC236}">
              <a16:creationId xmlns:a16="http://schemas.microsoft.com/office/drawing/2014/main" id="{C193E876-D560-4985-2EA4-8CEFDE506954}"/>
            </a:ext>
          </a:extLst>
        </xdr:cNvPr>
        <xdr:cNvGrpSpPr/>
      </xdr:nvGrpSpPr>
      <xdr:grpSpPr>
        <a:xfrm>
          <a:off x="0" y="6971047"/>
          <a:ext cx="1707169" cy="485419"/>
          <a:chOff x="0" y="6922179"/>
          <a:chExt cx="1725184" cy="482848"/>
        </a:xfrm>
      </xdr:grpSpPr>
      <xdr:sp macro="" textlink="">
        <xdr:nvSpPr>
          <xdr:cNvPr id="46" name="Rectangle: Rounded Corners 45">
            <a:extLst>
              <a:ext uri="{FF2B5EF4-FFF2-40B4-BE49-F238E27FC236}">
                <a16:creationId xmlns:a16="http://schemas.microsoft.com/office/drawing/2014/main" id="{FF493911-6C95-078B-D5A6-3C9F7BDFE669}"/>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EEF0CF45-04ED-1B85-506F-AB6F649554FE}"/>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3EFBCB2A-FC0C-F7B9-91D6-393B2C35EA33}"/>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6"/>
            <a:extLst>
              <a:ext uri="{FF2B5EF4-FFF2-40B4-BE49-F238E27FC236}">
                <a16:creationId xmlns:a16="http://schemas.microsoft.com/office/drawing/2014/main" id="{F6364531-EBF0-2D1C-95B0-302BE3BEC2FB}"/>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41</xdr:row>
      <xdr:rowOff>119454</xdr:rowOff>
    </xdr:from>
    <xdr:to>
      <xdr:col>0</xdr:col>
      <xdr:colOff>1711953</xdr:colOff>
      <xdr:row>44</xdr:row>
      <xdr:rowOff>55481</xdr:rowOff>
    </xdr:to>
    <xdr:grpSp>
      <xdr:nvGrpSpPr>
        <xdr:cNvPr id="32" name="Group 31">
          <a:extLst>
            <a:ext uri="{FF2B5EF4-FFF2-40B4-BE49-F238E27FC236}">
              <a16:creationId xmlns:a16="http://schemas.microsoft.com/office/drawing/2014/main" id="{609CF63A-3BE7-AC35-0513-F3EFFA6B3A2D}"/>
            </a:ext>
          </a:extLst>
        </xdr:cNvPr>
        <xdr:cNvGrpSpPr/>
      </xdr:nvGrpSpPr>
      <xdr:grpSpPr>
        <a:xfrm>
          <a:off x="5742" y="11936804"/>
          <a:ext cx="1706211" cy="488477"/>
          <a:chOff x="4477" y="11347997"/>
          <a:chExt cx="1725184" cy="480012"/>
        </a:xfrm>
      </xdr:grpSpPr>
      <xdr:sp macro="" textlink="">
        <xdr:nvSpPr>
          <xdr:cNvPr id="38" name="Rectangle: Rounded Corners 37">
            <a:extLst>
              <a:ext uri="{FF2B5EF4-FFF2-40B4-BE49-F238E27FC236}">
                <a16:creationId xmlns:a16="http://schemas.microsoft.com/office/drawing/2014/main" id="{74676F97-BEFD-8B16-3582-1C30A49D24A4}"/>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7"/>
            <a:extLst>
              <a:ext uri="{FF2B5EF4-FFF2-40B4-BE49-F238E27FC236}">
                <a16:creationId xmlns:a16="http://schemas.microsoft.com/office/drawing/2014/main" id="{70132049-8419-1824-F4F9-E4C32EEA4B6D}"/>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E2204CB1-B7AE-CFBB-2168-3083ADB97916}"/>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7"/>
            <a:extLst>
              <a:ext uri="{FF2B5EF4-FFF2-40B4-BE49-F238E27FC236}">
                <a16:creationId xmlns:a16="http://schemas.microsoft.com/office/drawing/2014/main" id="{F849C8AC-99FC-63C0-B3A0-863694E4DAD2}"/>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E693DDEE-7F0A-4099-B256-FE66DBC083DD}"/>
            </a:ext>
          </a:extLst>
        </xdr:cNvPr>
        <xdr:cNvGrpSpPr/>
      </xdr:nvGrpSpPr>
      <xdr:grpSpPr>
        <a:xfrm>
          <a:off x="9906000" y="0"/>
          <a:ext cx="774288" cy="286106"/>
          <a:chOff x="7108587" y="129950"/>
          <a:chExt cx="884099" cy="287016"/>
        </a:xfrm>
      </xdr:grpSpPr>
      <xdr:pic>
        <xdr:nvPicPr>
          <xdr:cNvPr id="161" name="Graphic 160" descr="Rewind with solid fill">
            <a:hlinkClick xmlns:r="http://schemas.openxmlformats.org/officeDocument/2006/relationships" r:id="rId28"/>
            <a:extLst>
              <a:ext uri="{FF2B5EF4-FFF2-40B4-BE49-F238E27FC236}">
                <a16:creationId xmlns:a16="http://schemas.microsoft.com/office/drawing/2014/main" id="{CD332F37-5808-91FE-229B-0202DD67F453}"/>
              </a:ext>
            </a:extLst>
          </xdr:cNvPr>
          <xdr:cNvPicPr>
            <a:picLocks noChangeAspect="1"/>
          </xdr:cNvPicPr>
        </xdr:nvPicPr>
        <xdr:blipFill>
          <a:blip xmlns:r="http://schemas.openxmlformats.org/officeDocument/2006/relationships" r:embed="rId29">
            <a:extLst>
              <a:ext uri="{96DAC541-7B7A-43D3-8B79-37D633B846F1}">
                <asvg:svgBlip xmlns:asvg="http://schemas.microsoft.com/office/drawing/2016/SVG/main" r:embed="rId30"/>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28"/>
            <a:extLst>
              <a:ext uri="{FF2B5EF4-FFF2-40B4-BE49-F238E27FC236}">
                <a16:creationId xmlns:a16="http://schemas.microsoft.com/office/drawing/2014/main" id="{57CC73DB-8ACF-CB19-2297-CEE7FCB09277}"/>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44</xdr:row>
      <xdr:rowOff>82550</xdr:rowOff>
    </xdr:from>
    <xdr:to>
      <xdr:col>0</xdr:col>
      <xdr:colOff>1713549</xdr:colOff>
      <xdr:row>56</xdr:row>
      <xdr:rowOff>98857</xdr:rowOff>
    </xdr:to>
    <xdr:grpSp>
      <xdr:nvGrpSpPr>
        <xdr:cNvPr id="163" name="Group 162">
          <a:extLst>
            <a:ext uri="{FF2B5EF4-FFF2-40B4-BE49-F238E27FC236}">
              <a16:creationId xmlns:a16="http://schemas.microsoft.com/office/drawing/2014/main" id="{FAFADC54-6C5C-408D-888E-B79EFBAE0C9D}"/>
            </a:ext>
          </a:extLst>
        </xdr:cNvPr>
        <xdr:cNvGrpSpPr/>
      </xdr:nvGrpSpPr>
      <xdr:grpSpPr>
        <a:xfrm>
          <a:off x="0" y="12452350"/>
          <a:ext cx="1713549" cy="2226107"/>
          <a:chOff x="5137727" y="13144500"/>
          <a:chExt cx="1713549" cy="2252946"/>
        </a:xfrm>
      </xdr:grpSpPr>
      <xdr:grpSp>
        <xdr:nvGrpSpPr>
          <xdr:cNvPr id="164" name="Group 163">
            <a:extLst>
              <a:ext uri="{FF2B5EF4-FFF2-40B4-BE49-F238E27FC236}">
                <a16:creationId xmlns:a16="http://schemas.microsoft.com/office/drawing/2014/main" id="{3CAB310D-901A-A585-87D3-E8D02375951B}"/>
              </a:ext>
            </a:extLst>
          </xdr:cNvPr>
          <xdr:cNvGrpSpPr/>
        </xdr:nvGrpSpPr>
        <xdr:grpSpPr>
          <a:xfrm>
            <a:off x="5144107" y="13624532"/>
            <a:ext cx="1707169" cy="465099"/>
            <a:chOff x="3415" y="11846315"/>
            <a:chExt cx="1725184" cy="456487"/>
          </a:xfrm>
        </xdr:grpSpPr>
        <xdr:sp macro="" textlink="">
          <xdr:nvSpPr>
            <xdr:cNvPr id="181" name="Rectangle: Rounded Corners 180">
              <a:extLst>
                <a:ext uri="{FF2B5EF4-FFF2-40B4-BE49-F238E27FC236}">
                  <a16:creationId xmlns:a16="http://schemas.microsoft.com/office/drawing/2014/main" id="{BF3BE0CB-FC24-1965-EB07-20CED89759BD}"/>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2" name="TextBox 181">
              <a:hlinkClick xmlns:r="http://schemas.openxmlformats.org/officeDocument/2006/relationships" r:id="rId23"/>
              <a:extLst>
                <a:ext uri="{FF2B5EF4-FFF2-40B4-BE49-F238E27FC236}">
                  <a16:creationId xmlns:a16="http://schemas.microsoft.com/office/drawing/2014/main" id="{B1F2687D-AE96-6EB4-2B6A-F058B938FF70}"/>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3" name="Oval 182">
              <a:extLst>
                <a:ext uri="{FF2B5EF4-FFF2-40B4-BE49-F238E27FC236}">
                  <a16:creationId xmlns:a16="http://schemas.microsoft.com/office/drawing/2014/main" id="{90643E05-C03B-0A2C-AA6B-4066B5B7D14A}"/>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4" name="TextBox 183">
              <a:hlinkClick xmlns:r="http://schemas.openxmlformats.org/officeDocument/2006/relationships" r:id="rId31"/>
              <a:extLst>
                <a:ext uri="{FF2B5EF4-FFF2-40B4-BE49-F238E27FC236}">
                  <a16:creationId xmlns:a16="http://schemas.microsoft.com/office/drawing/2014/main" id="{BEA3E0E1-5F92-E52F-AFE9-05A73EEE1249}"/>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5" name="Group 164">
            <a:extLst>
              <a:ext uri="{FF2B5EF4-FFF2-40B4-BE49-F238E27FC236}">
                <a16:creationId xmlns:a16="http://schemas.microsoft.com/office/drawing/2014/main" id="{B4819F81-D63A-347E-EEFF-72940283AB57}"/>
              </a:ext>
            </a:extLst>
          </xdr:cNvPr>
          <xdr:cNvGrpSpPr/>
        </xdr:nvGrpSpPr>
        <xdr:grpSpPr>
          <a:xfrm>
            <a:off x="5141639" y="14111307"/>
            <a:ext cx="1707169" cy="494728"/>
            <a:chOff x="847" y="12324893"/>
            <a:chExt cx="1725184" cy="486884"/>
          </a:xfrm>
        </xdr:grpSpPr>
        <xdr:sp macro="" textlink="">
          <xdr:nvSpPr>
            <xdr:cNvPr id="177" name="Rectangle: Rounded Corners 176">
              <a:extLst>
                <a:ext uri="{FF2B5EF4-FFF2-40B4-BE49-F238E27FC236}">
                  <a16:creationId xmlns:a16="http://schemas.microsoft.com/office/drawing/2014/main" id="{8591AE73-4D39-5EF4-BE1C-B0852BF4461C}"/>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2"/>
              <a:extLst>
                <a:ext uri="{FF2B5EF4-FFF2-40B4-BE49-F238E27FC236}">
                  <a16:creationId xmlns:a16="http://schemas.microsoft.com/office/drawing/2014/main" id="{EB82EC8F-02B3-7397-B890-A14313EAD018}"/>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9" name="Oval 178">
              <a:extLst>
                <a:ext uri="{FF2B5EF4-FFF2-40B4-BE49-F238E27FC236}">
                  <a16:creationId xmlns:a16="http://schemas.microsoft.com/office/drawing/2014/main" id="{00330D0B-62FA-AD9E-9897-A0F30BAC58A4}"/>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0" name="TextBox 179">
              <a:hlinkClick xmlns:r="http://schemas.openxmlformats.org/officeDocument/2006/relationships" r:id="rId32"/>
              <a:extLst>
                <a:ext uri="{FF2B5EF4-FFF2-40B4-BE49-F238E27FC236}">
                  <a16:creationId xmlns:a16="http://schemas.microsoft.com/office/drawing/2014/main" id="{5CF5BF2A-74E5-6144-5E08-61901402FD2D}"/>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66" name="TextBox 165">
            <a:extLst>
              <a:ext uri="{FF2B5EF4-FFF2-40B4-BE49-F238E27FC236}">
                <a16:creationId xmlns:a16="http://schemas.microsoft.com/office/drawing/2014/main" id="{6DD9BD92-8542-931A-23F8-99FF6B515519}"/>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67" name="Group 166">
            <a:extLst>
              <a:ext uri="{FF2B5EF4-FFF2-40B4-BE49-F238E27FC236}">
                <a16:creationId xmlns:a16="http://schemas.microsoft.com/office/drawing/2014/main" id="{1C984820-A296-50FB-5100-6B8AD8B7149C}"/>
              </a:ext>
            </a:extLst>
          </xdr:cNvPr>
          <xdr:cNvGrpSpPr/>
        </xdr:nvGrpSpPr>
        <xdr:grpSpPr>
          <a:xfrm>
            <a:off x="5138008" y="14617043"/>
            <a:ext cx="1708983" cy="494290"/>
            <a:chOff x="847" y="12324893"/>
            <a:chExt cx="1725184" cy="486884"/>
          </a:xfrm>
        </xdr:grpSpPr>
        <xdr:sp macro="" textlink="">
          <xdr:nvSpPr>
            <xdr:cNvPr id="173" name="Rectangle: Rounded Corners 172">
              <a:extLst>
                <a:ext uri="{FF2B5EF4-FFF2-40B4-BE49-F238E27FC236}">
                  <a16:creationId xmlns:a16="http://schemas.microsoft.com/office/drawing/2014/main" id="{E3CCA9D4-5238-F76F-D463-3C22CF7322F6}"/>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4" name="TextBox 173">
              <a:hlinkClick xmlns:r="http://schemas.openxmlformats.org/officeDocument/2006/relationships" r:id="rId33"/>
              <a:extLst>
                <a:ext uri="{FF2B5EF4-FFF2-40B4-BE49-F238E27FC236}">
                  <a16:creationId xmlns:a16="http://schemas.microsoft.com/office/drawing/2014/main" id="{EBD81818-CF7F-E25D-6CBE-0CE645FEA109}"/>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5" name="Oval 174">
              <a:extLst>
                <a:ext uri="{FF2B5EF4-FFF2-40B4-BE49-F238E27FC236}">
                  <a16:creationId xmlns:a16="http://schemas.microsoft.com/office/drawing/2014/main" id="{05AE3EDC-44A2-01DD-9341-19CC249BB4F2}"/>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17050292-167B-A56C-0F0B-3EE4429466B5}"/>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168" name="Group 167">
            <a:extLst>
              <a:ext uri="{FF2B5EF4-FFF2-40B4-BE49-F238E27FC236}">
                <a16:creationId xmlns:a16="http://schemas.microsoft.com/office/drawing/2014/main" id="{AF43DF05-8465-CB53-ABB7-C7BF076103D7}"/>
              </a:ext>
            </a:extLst>
          </xdr:cNvPr>
          <xdr:cNvGrpSpPr/>
        </xdr:nvGrpSpPr>
        <xdr:grpSpPr>
          <a:xfrm>
            <a:off x="5137727" y="13144500"/>
            <a:ext cx="1707169" cy="464661"/>
            <a:chOff x="3415" y="11846315"/>
            <a:chExt cx="1725184" cy="456487"/>
          </a:xfrm>
        </xdr:grpSpPr>
        <xdr:sp macro="" textlink="">
          <xdr:nvSpPr>
            <xdr:cNvPr id="169" name="Rectangle: Rounded Corners 168">
              <a:hlinkClick xmlns:r="http://schemas.openxmlformats.org/officeDocument/2006/relationships" r:id="rId34"/>
              <a:extLst>
                <a:ext uri="{FF2B5EF4-FFF2-40B4-BE49-F238E27FC236}">
                  <a16:creationId xmlns:a16="http://schemas.microsoft.com/office/drawing/2014/main" id="{81F2BDB8-0709-025C-DCBE-17EDF3E8E24F}"/>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4"/>
              <a:extLst>
                <a:ext uri="{FF2B5EF4-FFF2-40B4-BE49-F238E27FC236}">
                  <a16:creationId xmlns:a16="http://schemas.microsoft.com/office/drawing/2014/main" id="{D64918C0-5BAC-7527-9264-2C635A2ECC37}"/>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hlinkClick xmlns:r="http://schemas.openxmlformats.org/officeDocument/2006/relationships" r:id="rId34"/>
              <a:extLst>
                <a:ext uri="{FF2B5EF4-FFF2-40B4-BE49-F238E27FC236}">
                  <a16:creationId xmlns:a16="http://schemas.microsoft.com/office/drawing/2014/main" id="{09E47299-C194-0923-0937-3A2CC3674AA2}"/>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4"/>
              <a:extLst>
                <a:ext uri="{FF2B5EF4-FFF2-40B4-BE49-F238E27FC236}">
                  <a16:creationId xmlns:a16="http://schemas.microsoft.com/office/drawing/2014/main" id="{771BF447-C5DF-4455-4F91-830D229C299F}"/>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1841776</xdr:colOff>
      <xdr:row>25</xdr:row>
      <xdr:rowOff>611414</xdr:rowOff>
    </xdr:to>
    <xdr:grpSp>
      <xdr:nvGrpSpPr>
        <xdr:cNvPr id="2" name="Group 1">
          <a:extLst>
            <a:ext uri="{FF2B5EF4-FFF2-40B4-BE49-F238E27FC236}">
              <a16:creationId xmlns:a16="http://schemas.microsoft.com/office/drawing/2014/main" id="{52D96DDB-8A48-4F06-AECA-F6812EDD9475}"/>
            </a:ext>
          </a:extLst>
        </xdr:cNvPr>
        <xdr:cNvGrpSpPr/>
      </xdr:nvGrpSpPr>
      <xdr:grpSpPr>
        <a:xfrm>
          <a:off x="0" y="0"/>
          <a:ext cx="1841776" cy="14454414"/>
          <a:chOff x="0" y="0"/>
          <a:chExt cx="1841776" cy="13781314"/>
        </a:xfrm>
      </xdr:grpSpPr>
      <xdr:sp macro="" textlink="">
        <xdr:nvSpPr>
          <xdr:cNvPr id="3" name="Rectangle: Rounded Corners 2">
            <a:extLst>
              <a:ext uri="{FF2B5EF4-FFF2-40B4-BE49-F238E27FC236}">
                <a16:creationId xmlns:a16="http://schemas.microsoft.com/office/drawing/2014/main" id="{3BE33274-7E99-2D36-4518-200E54FE1B56}"/>
              </a:ext>
            </a:extLst>
          </xdr:cNvPr>
          <xdr:cNvSpPr/>
        </xdr:nvSpPr>
        <xdr:spPr>
          <a:xfrm>
            <a:off x="0" y="0"/>
            <a:ext cx="1841776" cy="13781314"/>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 name="Group 3">
            <a:extLst>
              <a:ext uri="{FF2B5EF4-FFF2-40B4-BE49-F238E27FC236}">
                <a16:creationId xmlns:a16="http://schemas.microsoft.com/office/drawing/2014/main" id="{DDA1D5E3-9DD3-FDED-7FCD-EABF1FE8B562}"/>
              </a:ext>
            </a:extLst>
          </xdr:cNvPr>
          <xdr:cNvGrpSpPr/>
        </xdr:nvGrpSpPr>
        <xdr:grpSpPr>
          <a:xfrm>
            <a:off x="11239" y="622184"/>
            <a:ext cx="1704895" cy="430316"/>
            <a:chOff x="17891" y="510932"/>
            <a:chExt cx="1724265" cy="444500"/>
          </a:xfrm>
        </xdr:grpSpPr>
        <xdr:sp macro="" textlink="">
          <xdr:nvSpPr>
            <xdr:cNvPr id="134" name="Rectangle: Rounded Corners 133">
              <a:extLst>
                <a:ext uri="{FF2B5EF4-FFF2-40B4-BE49-F238E27FC236}">
                  <a16:creationId xmlns:a16="http://schemas.microsoft.com/office/drawing/2014/main" id="{2AA2FEA0-718B-6C85-E3DE-5A0EBFC9394A}"/>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C80BBBF5-E098-EC46-D822-0EC0A383FAB5}"/>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2B34E325-7AAC-BF09-C4E3-D207EEF95CF9}"/>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pic>
        <xdr:nvPicPr>
          <xdr:cNvPr id="5" name="Graphic 4" descr="Home with solid fill">
            <a:hlinkClick xmlns:r="http://schemas.openxmlformats.org/officeDocument/2006/relationships" r:id="rId2"/>
            <a:extLst>
              <a:ext uri="{FF2B5EF4-FFF2-40B4-BE49-F238E27FC236}">
                <a16:creationId xmlns:a16="http://schemas.microsoft.com/office/drawing/2014/main" id="{4567DB41-34F7-3A9B-C975-BF0C93EFCD1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389958"/>
          </a:xfrm>
          <a:prstGeom prst="rect">
            <a:avLst/>
          </a:prstGeom>
        </xdr:spPr>
      </xdr:pic>
      <xdr:grpSp>
        <xdr:nvGrpSpPr>
          <xdr:cNvPr id="6" name="Group 5">
            <a:extLst>
              <a:ext uri="{FF2B5EF4-FFF2-40B4-BE49-F238E27FC236}">
                <a16:creationId xmlns:a16="http://schemas.microsoft.com/office/drawing/2014/main" id="{B246B649-A8BD-7C92-4F7D-14E11700499F}"/>
              </a:ext>
            </a:extLst>
          </xdr:cNvPr>
          <xdr:cNvGrpSpPr/>
        </xdr:nvGrpSpPr>
        <xdr:grpSpPr>
          <a:xfrm>
            <a:off x="10917" y="1075112"/>
            <a:ext cx="1704895" cy="425662"/>
            <a:chOff x="23753" y="989136"/>
            <a:chExt cx="1724265" cy="444500"/>
          </a:xfrm>
        </xdr:grpSpPr>
        <xdr:sp macro="" textlink="">
          <xdr:nvSpPr>
            <xdr:cNvPr id="131" name="Rectangle: Rounded Corners 130">
              <a:extLst>
                <a:ext uri="{FF2B5EF4-FFF2-40B4-BE49-F238E27FC236}">
                  <a16:creationId xmlns:a16="http://schemas.microsoft.com/office/drawing/2014/main" id="{428130D5-CC7C-E02E-C5B7-16D560872896}"/>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E355976C-6462-A072-587F-CCEC294D94DD}"/>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E3376CC9-794A-8B76-C44D-965DD050801D}"/>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7" name="Group 6">
            <a:extLst>
              <a:ext uri="{FF2B5EF4-FFF2-40B4-BE49-F238E27FC236}">
                <a16:creationId xmlns:a16="http://schemas.microsoft.com/office/drawing/2014/main" id="{87391EB6-E92E-0A87-518A-CD8485593EF4}"/>
              </a:ext>
            </a:extLst>
          </xdr:cNvPr>
          <xdr:cNvGrpSpPr/>
        </xdr:nvGrpSpPr>
        <xdr:grpSpPr>
          <a:xfrm>
            <a:off x="13063" y="2005965"/>
            <a:ext cx="1704895" cy="426959"/>
            <a:chOff x="13593" y="1983238"/>
            <a:chExt cx="1722818" cy="443309"/>
          </a:xfrm>
        </xdr:grpSpPr>
        <xdr:sp macro="" textlink="">
          <xdr:nvSpPr>
            <xdr:cNvPr id="128" name="Rectangle: Rounded Corners 127">
              <a:extLst>
                <a:ext uri="{FF2B5EF4-FFF2-40B4-BE49-F238E27FC236}">
                  <a16:creationId xmlns:a16="http://schemas.microsoft.com/office/drawing/2014/main" id="{27D9503F-116C-AAB0-DAB8-4D334B3B59DD}"/>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5A697FDF-8643-0429-1182-87F9CF70A482}"/>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76FCF5BD-53E2-DCF5-3215-DF725B895E5C}"/>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8" name="Group 7">
            <a:extLst>
              <a:ext uri="{FF2B5EF4-FFF2-40B4-BE49-F238E27FC236}">
                <a16:creationId xmlns:a16="http://schemas.microsoft.com/office/drawing/2014/main" id="{033C5509-C93B-6418-49B7-C2DF1D9E0B19}"/>
              </a:ext>
            </a:extLst>
          </xdr:cNvPr>
          <xdr:cNvGrpSpPr/>
        </xdr:nvGrpSpPr>
        <xdr:grpSpPr>
          <a:xfrm>
            <a:off x="12799" y="2453566"/>
            <a:ext cx="1702717" cy="425207"/>
            <a:chOff x="13317" y="2459028"/>
            <a:chExt cx="1720554" cy="441552"/>
          </a:xfrm>
        </xdr:grpSpPr>
        <xdr:sp macro="" textlink="">
          <xdr:nvSpPr>
            <xdr:cNvPr id="125" name="Rectangle: Rounded Corners 124">
              <a:extLst>
                <a:ext uri="{FF2B5EF4-FFF2-40B4-BE49-F238E27FC236}">
                  <a16:creationId xmlns:a16="http://schemas.microsoft.com/office/drawing/2014/main" id="{F11792E0-6566-48A9-4C68-3EC3062957B8}"/>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A3701AF1-E1B2-5CEB-564E-C67684FB5AFA}"/>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3553A90C-74ED-AD7B-76E3-0A2875987A7B}"/>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9" name="Group 8">
            <a:extLst>
              <a:ext uri="{FF2B5EF4-FFF2-40B4-BE49-F238E27FC236}">
                <a16:creationId xmlns:a16="http://schemas.microsoft.com/office/drawing/2014/main" id="{969F1A66-804F-4262-7BC0-61C114AB2616}"/>
              </a:ext>
            </a:extLst>
          </xdr:cNvPr>
          <xdr:cNvGrpSpPr/>
        </xdr:nvGrpSpPr>
        <xdr:grpSpPr>
          <a:xfrm>
            <a:off x="8181" y="2892387"/>
            <a:ext cx="1704895" cy="437479"/>
            <a:chOff x="8513" y="2976867"/>
            <a:chExt cx="1722818" cy="451725"/>
          </a:xfrm>
        </xdr:grpSpPr>
        <xdr:sp macro="" textlink="">
          <xdr:nvSpPr>
            <xdr:cNvPr id="121" name="Rectangle: Rounded Corners 120">
              <a:extLst>
                <a:ext uri="{FF2B5EF4-FFF2-40B4-BE49-F238E27FC236}">
                  <a16:creationId xmlns:a16="http://schemas.microsoft.com/office/drawing/2014/main" id="{FA45BEAA-7899-3333-E870-88DD6390BEBD}"/>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0057F322-E862-B108-E35D-F81386A29AB2}"/>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A65D5CEC-3121-27D3-7A2A-954C16F0670C}"/>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B3A04838-BC6B-DE15-63E7-E13078FCB58F}"/>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grpSp>
        <xdr:nvGrpSpPr>
          <xdr:cNvPr id="10" name="Group 9">
            <a:extLst>
              <a:ext uri="{FF2B5EF4-FFF2-40B4-BE49-F238E27FC236}">
                <a16:creationId xmlns:a16="http://schemas.microsoft.com/office/drawing/2014/main" id="{AB54AEB6-87CF-5B9D-5E2C-A4BAD7E2B2A4}"/>
              </a:ext>
            </a:extLst>
          </xdr:cNvPr>
          <xdr:cNvGrpSpPr/>
        </xdr:nvGrpSpPr>
        <xdr:grpSpPr>
          <a:xfrm>
            <a:off x="11772" y="1522036"/>
            <a:ext cx="1704895" cy="464264"/>
            <a:chOff x="21544" y="1467318"/>
            <a:chExt cx="1724265" cy="477164"/>
          </a:xfrm>
        </xdr:grpSpPr>
        <xdr:sp macro="" textlink="">
          <xdr:nvSpPr>
            <xdr:cNvPr id="118" name="Rectangle: Rounded Corners 117">
              <a:extLst>
                <a:ext uri="{FF2B5EF4-FFF2-40B4-BE49-F238E27FC236}">
                  <a16:creationId xmlns:a16="http://schemas.microsoft.com/office/drawing/2014/main" id="{86E369A4-E2A0-F6D1-C22F-7760AE97CAE6}"/>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0D3FD364-5538-96B8-38BE-950206F03940}"/>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4A98662D-E41E-7AD0-768B-D1B728C75DD8}"/>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11" name="Group 10">
            <a:extLst>
              <a:ext uri="{FF2B5EF4-FFF2-40B4-BE49-F238E27FC236}">
                <a16:creationId xmlns:a16="http://schemas.microsoft.com/office/drawing/2014/main" id="{F7FD9C17-9F48-CF7E-542C-5E969EBB3951}"/>
              </a:ext>
            </a:extLst>
          </xdr:cNvPr>
          <xdr:cNvGrpSpPr/>
        </xdr:nvGrpSpPr>
        <xdr:grpSpPr>
          <a:xfrm>
            <a:off x="8199" y="3342436"/>
            <a:ext cx="1704895" cy="461003"/>
            <a:chOff x="8532" y="3456662"/>
            <a:chExt cx="1722818" cy="482122"/>
          </a:xfrm>
        </xdr:grpSpPr>
        <xdr:sp macro="" textlink="">
          <xdr:nvSpPr>
            <xdr:cNvPr id="114" name="Rectangle: Rounded Corners 113">
              <a:extLst>
                <a:ext uri="{FF2B5EF4-FFF2-40B4-BE49-F238E27FC236}">
                  <a16:creationId xmlns:a16="http://schemas.microsoft.com/office/drawing/2014/main" id="{14F12917-F099-5225-C3BD-EF8D626E43D2}"/>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961FF4DE-C057-FB7B-3EB2-BB15C3A4DE85}"/>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08E0B3A6-99D5-B86F-B1A7-EEE840EE8D66}"/>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FB587EA8-7F6B-075E-5EE2-46BC55B927C2}"/>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grpSp>
        <xdr:nvGrpSpPr>
          <xdr:cNvPr id="12" name="Group 11">
            <a:extLst>
              <a:ext uri="{FF2B5EF4-FFF2-40B4-BE49-F238E27FC236}">
                <a16:creationId xmlns:a16="http://schemas.microsoft.com/office/drawing/2014/main" id="{0A50D49B-51E4-7E31-A96B-24B0331354BC}"/>
              </a:ext>
            </a:extLst>
          </xdr:cNvPr>
          <xdr:cNvGrpSpPr/>
        </xdr:nvGrpSpPr>
        <xdr:grpSpPr>
          <a:xfrm>
            <a:off x="6077" y="3815641"/>
            <a:ext cx="1707169" cy="440302"/>
            <a:chOff x="6323" y="3964228"/>
            <a:chExt cx="1725184" cy="454551"/>
          </a:xfrm>
        </xdr:grpSpPr>
        <xdr:sp macro="" textlink="">
          <xdr:nvSpPr>
            <xdr:cNvPr id="110" name="Rectangle: Rounded Corners 109">
              <a:extLst>
                <a:ext uri="{FF2B5EF4-FFF2-40B4-BE49-F238E27FC236}">
                  <a16:creationId xmlns:a16="http://schemas.microsoft.com/office/drawing/2014/main" id="{754B45B0-29FF-49EA-26D5-34F749A36E4E}"/>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CC6BECFB-B7DB-A9AF-AAA2-F569A86C16D0}"/>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5260A3A4-2AD3-CAA7-CFFF-E2CFCA7CB4ED}"/>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1C81D3D2-2927-FB96-3347-EB677EFF687D}"/>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grpSp>
        <xdr:nvGrpSpPr>
          <xdr:cNvPr id="13" name="Group 12">
            <a:extLst>
              <a:ext uri="{FF2B5EF4-FFF2-40B4-BE49-F238E27FC236}">
                <a16:creationId xmlns:a16="http://schemas.microsoft.com/office/drawing/2014/main" id="{04170F55-4AD7-EBFF-3033-D8322CAC5BA3}"/>
              </a:ext>
            </a:extLst>
          </xdr:cNvPr>
          <xdr:cNvGrpSpPr/>
        </xdr:nvGrpSpPr>
        <xdr:grpSpPr>
          <a:xfrm>
            <a:off x="2748" y="4272371"/>
            <a:ext cx="1707169" cy="471585"/>
            <a:chOff x="2860" y="4442071"/>
            <a:chExt cx="1725184" cy="485874"/>
          </a:xfrm>
        </xdr:grpSpPr>
        <xdr:sp macro="" textlink="">
          <xdr:nvSpPr>
            <xdr:cNvPr id="106" name="Rectangle: Rounded Corners 105">
              <a:extLst>
                <a:ext uri="{FF2B5EF4-FFF2-40B4-BE49-F238E27FC236}">
                  <a16:creationId xmlns:a16="http://schemas.microsoft.com/office/drawing/2014/main" id="{27C76417-9D88-2B3D-F9C2-39F79ADDB3CA}"/>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EA21C3A3-7B4C-84DE-6BBC-5D2F871D3B8A}"/>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5876B323-2ECD-7CB2-9716-D2C2F100EB09}"/>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932C50ED-E42B-4CA7-1E4E-ED3DBEED472F}"/>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grpSp>
        <xdr:nvGrpSpPr>
          <xdr:cNvPr id="14" name="Group 13">
            <a:extLst>
              <a:ext uri="{FF2B5EF4-FFF2-40B4-BE49-F238E27FC236}">
                <a16:creationId xmlns:a16="http://schemas.microsoft.com/office/drawing/2014/main" id="{6BC1673B-4CC1-A5A7-ACA2-26BDB37FF060}"/>
              </a:ext>
            </a:extLst>
          </xdr:cNvPr>
          <xdr:cNvGrpSpPr/>
        </xdr:nvGrpSpPr>
        <xdr:grpSpPr>
          <a:xfrm>
            <a:off x="2133" y="4765255"/>
            <a:ext cx="1707169" cy="435084"/>
            <a:chOff x="2219" y="4949272"/>
            <a:chExt cx="1725184" cy="456170"/>
          </a:xfrm>
        </xdr:grpSpPr>
        <xdr:sp macro="" textlink="">
          <xdr:nvSpPr>
            <xdr:cNvPr id="102" name="Rectangle: Rounded Corners 101">
              <a:extLst>
                <a:ext uri="{FF2B5EF4-FFF2-40B4-BE49-F238E27FC236}">
                  <a16:creationId xmlns:a16="http://schemas.microsoft.com/office/drawing/2014/main" id="{E0272108-59B5-C02D-6E62-613799A403F2}"/>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CEDD02BD-48FF-7EB5-111B-F7D9C5717B01}"/>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7C1621BF-95CC-A0A4-4FFE-87BF52A85ACB}"/>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E970A0DF-1971-F2DE-D036-B11E83B3DE15}"/>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grpSp>
        <xdr:nvGrpSpPr>
          <xdr:cNvPr id="15" name="Group 14">
            <a:extLst>
              <a:ext uri="{FF2B5EF4-FFF2-40B4-BE49-F238E27FC236}">
                <a16:creationId xmlns:a16="http://schemas.microsoft.com/office/drawing/2014/main" id="{9D2C0FDB-3256-B356-DCAB-108FF6C275CC}"/>
              </a:ext>
            </a:extLst>
          </xdr:cNvPr>
          <xdr:cNvGrpSpPr/>
        </xdr:nvGrpSpPr>
        <xdr:grpSpPr>
          <a:xfrm>
            <a:off x="2129" y="5218375"/>
            <a:ext cx="1707169" cy="466559"/>
            <a:chOff x="2215" y="5434042"/>
            <a:chExt cx="1725184" cy="486597"/>
          </a:xfrm>
        </xdr:grpSpPr>
        <xdr:sp macro="" textlink="">
          <xdr:nvSpPr>
            <xdr:cNvPr id="98" name="Rectangle: Rounded Corners 97">
              <a:extLst>
                <a:ext uri="{FF2B5EF4-FFF2-40B4-BE49-F238E27FC236}">
                  <a16:creationId xmlns:a16="http://schemas.microsoft.com/office/drawing/2014/main" id="{EEA25E7E-30EF-6414-5382-D5699561DD9A}"/>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7E7A65D0-FB24-492C-F169-DF5A2E6F29B1}"/>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AD0ABD8E-B9B4-8E2C-FD37-9B5ACE6618D5}"/>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7DB695C4-7963-A235-2C12-6ED75D027C38}"/>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grpSp>
        <xdr:nvGrpSpPr>
          <xdr:cNvPr id="16" name="Group 15">
            <a:extLst>
              <a:ext uri="{FF2B5EF4-FFF2-40B4-BE49-F238E27FC236}">
                <a16:creationId xmlns:a16="http://schemas.microsoft.com/office/drawing/2014/main" id="{81FF87BC-03B8-4DC1-8397-B245E4358F11}"/>
              </a:ext>
            </a:extLst>
          </xdr:cNvPr>
          <xdr:cNvGrpSpPr/>
        </xdr:nvGrpSpPr>
        <xdr:grpSpPr>
          <a:xfrm>
            <a:off x="2127" y="5701957"/>
            <a:ext cx="1707169" cy="471585"/>
            <a:chOff x="2213" y="5938772"/>
            <a:chExt cx="1725184" cy="485874"/>
          </a:xfrm>
        </xdr:grpSpPr>
        <xdr:sp macro="" textlink="">
          <xdr:nvSpPr>
            <xdr:cNvPr id="94" name="Rectangle: Rounded Corners 93">
              <a:extLst>
                <a:ext uri="{FF2B5EF4-FFF2-40B4-BE49-F238E27FC236}">
                  <a16:creationId xmlns:a16="http://schemas.microsoft.com/office/drawing/2014/main" id="{102C5484-07C8-4526-54C9-6C0B90C15677}"/>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485FA53F-EDEA-CC38-6371-D0290282CFE0}"/>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A7E67E76-067B-50CF-0D11-54DE64B75F27}"/>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799EEEB5-A702-2CEA-EE3D-04184FDCE4AB}"/>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grpSp>
        <xdr:nvGrpSpPr>
          <xdr:cNvPr id="17" name="Group 16">
            <a:extLst>
              <a:ext uri="{FF2B5EF4-FFF2-40B4-BE49-F238E27FC236}">
                <a16:creationId xmlns:a16="http://schemas.microsoft.com/office/drawing/2014/main" id="{52406CA8-78EF-28F9-0485-CF6A0E909C6A}"/>
              </a:ext>
            </a:extLst>
          </xdr:cNvPr>
          <xdr:cNvGrpSpPr/>
        </xdr:nvGrpSpPr>
        <xdr:grpSpPr>
          <a:xfrm>
            <a:off x="842" y="6192410"/>
            <a:ext cx="1707169" cy="435837"/>
            <a:chOff x="876" y="6443539"/>
            <a:chExt cx="1725184" cy="456924"/>
          </a:xfrm>
        </xdr:grpSpPr>
        <xdr:sp macro="" textlink="">
          <xdr:nvSpPr>
            <xdr:cNvPr id="90" name="Rectangle: Rounded Corners 89">
              <a:extLst>
                <a:ext uri="{FF2B5EF4-FFF2-40B4-BE49-F238E27FC236}">
                  <a16:creationId xmlns:a16="http://schemas.microsoft.com/office/drawing/2014/main" id="{47E4916E-DC95-7616-D664-2CF58B45AE4D}"/>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DBB604D3-29DC-79AA-C632-969E7A922BE3}"/>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0B56293F-0B26-600E-4779-B46D0E109931}"/>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96CAEA28-601B-CAD1-F127-ABC993138689}"/>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grpSp>
        <xdr:nvGrpSpPr>
          <xdr:cNvPr id="18" name="Group 17">
            <a:extLst>
              <a:ext uri="{FF2B5EF4-FFF2-40B4-BE49-F238E27FC236}">
                <a16:creationId xmlns:a16="http://schemas.microsoft.com/office/drawing/2014/main" id="{8A320F01-82A2-30A3-ED78-B4A218225649}"/>
              </a:ext>
            </a:extLst>
          </xdr:cNvPr>
          <xdr:cNvGrpSpPr/>
        </xdr:nvGrpSpPr>
        <xdr:grpSpPr>
          <a:xfrm>
            <a:off x="1777" y="7131624"/>
            <a:ext cx="1707169" cy="443578"/>
            <a:chOff x="1849" y="7421500"/>
            <a:chExt cx="1725184" cy="457832"/>
          </a:xfrm>
        </xdr:grpSpPr>
        <xdr:sp macro="" textlink="">
          <xdr:nvSpPr>
            <xdr:cNvPr id="86" name="Rectangle: Rounded Corners 85">
              <a:extLst>
                <a:ext uri="{FF2B5EF4-FFF2-40B4-BE49-F238E27FC236}">
                  <a16:creationId xmlns:a16="http://schemas.microsoft.com/office/drawing/2014/main" id="{A67C63E7-AE73-C4A1-B9D1-28795DBBD56A}"/>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7742164B-A968-AE7F-27A9-30B1DAA7530B}"/>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17C9F8B8-BB41-202C-1ED1-D91432763C44}"/>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81B608C1-CD3D-BE5A-0917-1E780A5B1B7F}"/>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grpSp>
        <xdr:nvGrpSpPr>
          <xdr:cNvPr id="20" name="Group 19">
            <a:extLst>
              <a:ext uri="{FF2B5EF4-FFF2-40B4-BE49-F238E27FC236}">
                <a16:creationId xmlns:a16="http://schemas.microsoft.com/office/drawing/2014/main" id="{16F86839-BBF1-5923-8617-D4019A887EF5}"/>
              </a:ext>
            </a:extLst>
          </xdr:cNvPr>
          <xdr:cNvGrpSpPr/>
        </xdr:nvGrpSpPr>
        <xdr:grpSpPr>
          <a:xfrm>
            <a:off x="3704" y="7601467"/>
            <a:ext cx="1707169" cy="465700"/>
            <a:chOff x="3854" y="7898602"/>
            <a:chExt cx="1725184" cy="486825"/>
          </a:xfrm>
        </xdr:grpSpPr>
        <xdr:sp macro="" textlink="">
          <xdr:nvSpPr>
            <xdr:cNvPr id="82" name="Rectangle: Rounded Corners 81">
              <a:extLst>
                <a:ext uri="{FF2B5EF4-FFF2-40B4-BE49-F238E27FC236}">
                  <a16:creationId xmlns:a16="http://schemas.microsoft.com/office/drawing/2014/main" id="{DDA83DEB-5A3C-DEB9-676B-77707456C448}"/>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B3C8C2AD-3FF0-2C8B-B9B0-B068F15A37F6}"/>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95E67010-011F-1251-FA6B-39C0CB003BE3}"/>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5A67B56A-3F95-2A04-1980-5221A7F38AD6}"/>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grpSp>
        <xdr:nvGrpSpPr>
          <xdr:cNvPr id="21" name="Group 20">
            <a:extLst>
              <a:ext uri="{FF2B5EF4-FFF2-40B4-BE49-F238E27FC236}">
                <a16:creationId xmlns:a16="http://schemas.microsoft.com/office/drawing/2014/main" id="{8A4FE34F-8834-830F-BBC2-22D51A48BB82}"/>
              </a:ext>
            </a:extLst>
          </xdr:cNvPr>
          <xdr:cNvGrpSpPr/>
        </xdr:nvGrpSpPr>
        <xdr:grpSpPr>
          <a:xfrm>
            <a:off x="4988" y="8090150"/>
            <a:ext cx="1707169" cy="441184"/>
            <a:chOff x="5190" y="8408439"/>
            <a:chExt cx="1725184" cy="455434"/>
          </a:xfrm>
        </xdr:grpSpPr>
        <xdr:sp macro="" textlink="">
          <xdr:nvSpPr>
            <xdr:cNvPr id="78" name="Rectangle: Rounded Corners 77">
              <a:extLst>
                <a:ext uri="{FF2B5EF4-FFF2-40B4-BE49-F238E27FC236}">
                  <a16:creationId xmlns:a16="http://schemas.microsoft.com/office/drawing/2014/main" id="{64C0E491-EF41-034B-EEE0-5F9E25769CAD}"/>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EF67D39A-A023-F7AA-DB6A-98EA056446C2}"/>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EEE5720D-09CF-901C-3C66-B72C99089877}"/>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BEF9F0AD-DD86-23F0-A292-9222DE601337}"/>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grpSp>
        <xdr:nvGrpSpPr>
          <xdr:cNvPr id="22" name="Group 21">
            <a:extLst>
              <a:ext uri="{FF2B5EF4-FFF2-40B4-BE49-F238E27FC236}">
                <a16:creationId xmlns:a16="http://schemas.microsoft.com/office/drawing/2014/main" id="{E6A7DEA2-CDE0-5895-5167-0571DF52C9F7}"/>
              </a:ext>
            </a:extLst>
          </xdr:cNvPr>
          <xdr:cNvGrpSpPr/>
        </xdr:nvGrpSpPr>
        <xdr:grpSpPr>
          <a:xfrm>
            <a:off x="6038" y="8543526"/>
            <a:ext cx="1707169" cy="465158"/>
            <a:chOff x="6283" y="8882925"/>
            <a:chExt cx="1725184" cy="479438"/>
          </a:xfrm>
        </xdr:grpSpPr>
        <xdr:sp macro="" textlink="">
          <xdr:nvSpPr>
            <xdr:cNvPr id="74" name="Rectangle: Rounded Corners 73">
              <a:extLst>
                <a:ext uri="{FF2B5EF4-FFF2-40B4-BE49-F238E27FC236}">
                  <a16:creationId xmlns:a16="http://schemas.microsoft.com/office/drawing/2014/main" id="{059CBF4D-3B34-3B88-9669-8259AAF3026E}"/>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6C777CB6-567E-64AE-40FA-BF1364658415}"/>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D7E16949-F1F1-0986-3CDE-DC7475E1DB2B}"/>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265B1FC1-45D6-B258-8144-3B21E64C3F39}"/>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grpSp>
        <xdr:nvGrpSpPr>
          <xdr:cNvPr id="23" name="Group 22">
            <a:extLst>
              <a:ext uri="{FF2B5EF4-FFF2-40B4-BE49-F238E27FC236}">
                <a16:creationId xmlns:a16="http://schemas.microsoft.com/office/drawing/2014/main" id="{33159CC5-D919-1F27-751F-51DF427F54B7}"/>
              </a:ext>
            </a:extLst>
          </xdr:cNvPr>
          <xdr:cNvGrpSpPr/>
        </xdr:nvGrpSpPr>
        <xdr:grpSpPr>
          <a:xfrm>
            <a:off x="4605" y="9509435"/>
            <a:ext cx="1707169" cy="444789"/>
            <a:chOff x="4792" y="9884285"/>
            <a:chExt cx="1725184" cy="459044"/>
          </a:xfrm>
        </xdr:grpSpPr>
        <xdr:sp macro="" textlink="">
          <xdr:nvSpPr>
            <xdr:cNvPr id="70" name="Rectangle: Rounded Corners 69">
              <a:extLst>
                <a:ext uri="{FF2B5EF4-FFF2-40B4-BE49-F238E27FC236}">
                  <a16:creationId xmlns:a16="http://schemas.microsoft.com/office/drawing/2014/main" id="{E01E7854-7EDC-6A2F-B640-B13285EFCA3D}"/>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08B2DFA3-F4D9-481F-7862-9067132C756B}"/>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CFBE9590-9E5F-5D65-CAFF-65CC11F05C06}"/>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3900F3C0-EC97-F1E3-9914-53B4986B4D11}"/>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grpSp>
        <xdr:nvGrpSpPr>
          <xdr:cNvPr id="24" name="Group 23">
            <a:extLst>
              <a:ext uri="{FF2B5EF4-FFF2-40B4-BE49-F238E27FC236}">
                <a16:creationId xmlns:a16="http://schemas.microsoft.com/office/drawing/2014/main" id="{77F29E6D-3E30-67A3-18C2-96629A10C532}"/>
              </a:ext>
            </a:extLst>
          </xdr:cNvPr>
          <xdr:cNvGrpSpPr/>
        </xdr:nvGrpSpPr>
        <xdr:grpSpPr>
          <a:xfrm>
            <a:off x="5368" y="9025830"/>
            <a:ext cx="1707169" cy="460457"/>
            <a:chOff x="5586" y="9379532"/>
            <a:chExt cx="1725184" cy="481576"/>
          </a:xfrm>
        </xdr:grpSpPr>
        <xdr:sp macro="" textlink="">
          <xdr:nvSpPr>
            <xdr:cNvPr id="66" name="Rectangle: Rounded Corners 65">
              <a:extLst>
                <a:ext uri="{FF2B5EF4-FFF2-40B4-BE49-F238E27FC236}">
                  <a16:creationId xmlns:a16="http://schemas.microsoft.com/office/drawing/2014/main" id="{801B6BAE-D669-10B5-EA10-C27DD7EE00D8}"/>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7" name="TextBox 66">
              <a:hlinkClick xmlns:r="http://schemas.openxmlformats.org/officeDocument/2006/relationships" r:id="rId22"/>
              <a:extLst>
                <a:ext uri="{FF2B5EF4-FFF2-40B4-BE49-F238E27FC236}">
                  <a16:creationId xmlns:a16="http://schemas.microsoft.com/office/drawing/2014/main" id="{01419741-5432-E9B5-CF50-F1D0DC2C17C0}"/>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8" name="Oval 67">
              <a:extLst>
                <a:ext uri="{FF2B5EF4-FFF2-40B4-BE49-F238E27FC236}">
                  <a16:creationId xmlns:a16="http://schemas.microsoft.com/office/drawing/2014/main" id="{0F832961-C760-A45C-3607-CE4D344A3B31}"/>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E8087CFA-0713-630F-2FCC-EE6900593E27}"/>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grpSp>
        <xdr:nvGrpSpPr>
          <xdr:cNvPr id="25" name="Group 24">
            <a:extLst>
              <a:ext uri="{FF2B5EF4-FFF2-40B4-BE49-F238E27FC236}">
                <a16:creationId xmlns:a16="http://schemas.microsoft.com/office/drawing/2014/main" id="{D2F6C876-EA59-A2CE-C151-B439D4880510}"/>
              </a:ext>
            </a:extLst>
          </xdr:cNvPr>
          <xdr:cNvGrpSpPr/>
        </xdr:nvGrpSpPr>
        <xdr:grpSpPr>
          <a:xfrm>
            <a:off x="3836" y="9962232"/>
            <a:ext cx="1707169" cy="472185"/>
            <a:chOff x="3992" y="10358190"/>
            <a:chExt cx="1725184" cy="486476"/>
          </a:xfrm>
        </xdr:grpSpPr>
        <xdr:sp macro="" textlink="">
          <xdr:nvSpPr>
            <xdr:cNvPr id="62" name="Rectangle: Rounded Corners 61">
              <a:extLst>
                <a:ext uri="{FF2B5EF4-FFF2-40B4-BE49-F238E27FC236}">
                  <a16:creationId xmlns:a16="http://schemas.microsoft.com/office/drawing/2014/main" id="{A9247A34-1DBD-96BC-740A-3B0C864EAB40}"/>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3"/>
              <a:extLst>
                <a:ext uri="{FF2B5EF4-FFF2-40B4-BE49-F238E27FC236}">
                  <a16:creationId xmlns:a16="http://schemas.microsoft.com/office/drawing/2014/main" id="{D5D880F2-864D-4BA4-453A-75C4CD6F3442}"/>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4" name="Oval 63">
              <a:extLst>
                <a:ext uri="{FF2B5EF4-FFF2-40B4-BE49-F238E27FC236}">
                  <a16:creationId xmlns:a16="http://schemas.microsoft.com/office/drawing/2014/main" id="{848C5AF1-956A-EA90-2688-4ADBA599A0FA}"/>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5" name="TextBox 64">
              <a:hlinkClick xmlns:r="http://schemas.openxmlformats.org/officeDocument/2006/relationships" r:id="rId23"/>
              <a:extLst>
                <a:ext uri="{FF2B5EF4-FFF2-40B4-BE49-F238E27FC236}">
                  <a16:creationId xmlns:a16="http://schemas.microsoft.com/office/drawing/2014/main" id="{3C3F9185-9ACF-4C46-9330-66C82A26579C}"/>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grpSp>
        <xdr:nvGrpSpPr>
          <xdr:cNvPr id="26" name="Group 25">
            <a:extLst>
              <a:ext uri="{FF2B5EF4-FFF2-40B4-BE49-F238E27FC236}">
                <a16:creationId xmlns:a16="http://schemas.microsoft.com/office/drawing/2014/main" id="{B131D31C-82F5-272D-EEF0-907AE1C39443}"/>
              </a:ext>
            </a:extLst>
          </xdr:cNvPr>
          <xdr:cNvGrpSpPr/>
        </xdr:nvGrpSpPr>
        <xdr:grpSpPr>
          <a:xfrm>
            <a:off x="6380" y="11864813"/>
            <a:ext cx="1707169" cy="443858"/>
            <a:chOff x="3415" y="11846315"/>
            <a:chExt cx="1725184" cy="456487"/>
          </a:xfrm>
        </xdr:grpSpPr>
        <xdr:sp macro="" textlink="">
          <xdr:nvSpPr>
            <xdr:cNvPr id="58" name="Rectangle: Rounded Corners 57">
              <a:extLst>
                <a:ext uri="{FF2B5EF4-FFF2-40B4-BE49-F238E27FC236}">
                  <a16:creationId xmlns:a16="http://schemas.microsoft.com/office/drawing/2014/main" id="{1A653C82-5613-8339-1590-5CA4858D173E}"/>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9" name="TextBox 58">
              <a:hlinkClick xmlns:r="http://schemas.openxmlformats.org/officeDocument/2006/relationships" r:id="rId23"/>
              <a:extLst>
                <a:ext uri="{FF2B5EF4-FFF2-40B4-BE49-F238E27FC236}">
                  <a16:creationId xmlns:a16="http://schemas.microsoft.com/office/drawing/2014/main" id="{74250058-F1E1-FE7D-6AD0-71363A4DAD91}"/>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60" name="Oval 59">
              <a:extLst>
                <a:ext uri="{FF2B5EF4-FFF2-40B4-BE49-F238E27FC236}">
                  <a16:creationId xmlns:a16="http://schemas.microsoft.com/office/drawing/2014/main" id="{AF4C05D4-1843-F921-1B40-C35D3E9BACD4}"/>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1" name="TextBox 60">
              <a:hlinkClick xmlns:r="http://schemas.openxmlformats.org/officeDocument/2006/relationships" r:id="rId24"/>
              <a:extLst>
                <a:ext uri="{FF2B5EF4-FFF2-40B4-BE49-F238E27FC236}">
                  <a16:creationId xmlns:a16="http://schemas.microsoft.com/office/drawing/2014/main" id="{CEDD600E-46E1-1EF7-E39A-3F1527E972F9}"/>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27" name="Group 26">
            <a:extLst>
              <a:ext uri="{FF2B5EF4-FFF2-40B4-BE49-F238E27FC236}">
                <a16:creationId xmlns:a16="http://schemas.microsoft.com/office/drawing/2014/main" id="{91F9F18D-D8AB-0549-8579-66A32D05C67F}"/>
              </a:ext>
            </a:extLst>
          </xdr:cNvPr>
          <xdr:cNvGrpSpPr/>
        </xdr:nvGrpSpPr>
        <xdr:grpSpPr>
          <a:xfrm>
            <a:off x="5499" y="10450927"/>
            <a:ext cx="1707169" cy="434363"/>
            <a:chOff x="5723" y="10874564"/>
            <a:chExt cx="1725184" cy="455447"/>
          </a:xfrm>
        </xdr:grpSpPr>
        <xdr:sp macro="" textlink="">
          <xdr:nvSpPr>
            <xdr:cNvPr id="54" name="Rectangle: Rounded Corners 53">
              <a:extLst>
                <a:ext uri="{FF2B5EF4-FFF2-40B4-BE49-F238E27FC236}">
                  <a16:creationId xmlns:a16="http://schemas.microsoft.com/office/drawing/2014/main" id="{1DD00CD0-9B66-7BB4-0E22-B63E556D0397}"/>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5"/>
              <a:extLst>
                <a:ext uri="{FF2B5EF4-FFF2-40B4-BE49-F238E27FC236}">
                  <a16:creationId xmlns:a16="http://schemas.microsoft.com/office/drawing/2014/main" id="{C7DD45CC-65B8-4D98-1E37-20555EC989AF}"/>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C1CE33D1-6B47-A669-344F-AB3F22159DC1}"/>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5"/>
              <a:extLst>
                <a:ext uri="{FF2B5EF4-FFF2-40B4-BE49-F238E27FC236}">
                  <a16:creationId xmlns:a16="http://schemas.microsoft.com/office/drawing/2014/main" id="{27152D86-6585-C1D3-FAA5-A594938693D7}"/>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grpSp>
        <xdr:nvGrpSpPr>
          <xdr:cNvPr id="28" name="Group 27">
            <a:extLst>
              <a:ext uri="{FF2B5EF4-FFF2-40B4-BE49-F238E27FC236}">
                <a16:creationId xmlns:a16="http://schemas.microsoft.com/office/drawing/2014/main" id="{3E9580CA-2859-58E2-560B-69D72DABC7B7}"/>
              </a:ext>
            </a:extLst>
          </xdr:cNvPr>
          <xdr:cNvGrpSpPr/>
        </xdr:nvGrpSpPr>
        <xdr:grpSpPr>
          <a:xfrm>
            <a:off x="4302" y="10903251"/>
            <a:ext cx="1707169" cy="465730"/>
            <a:chOff x="4477" y="11347997"/>
            <a:chExt cx="1725184" cy="480012"/>
          </a:xfrm>
        </xdr:grpSpPr>
        <xdr:sp macro="" textlink="">
          <xdr:nvSpPr>
            <xdr:cNvPr id="50" name="Rectangle: Rounded Corners 49">
              <a:extLst>
                <a:ext uri="{FF2B5EF4-FFF2-40B4-BE49-F238E27FC236}">
                  <a16:creationId xmlns:a16="http://schemas.microsoft.com/office/drawing/2014/main" id="{2394112E-BEDB-27FC-EDC2-E0113CF09783}"/>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26"/>
              <a:extLst>
                <a:ext uri="{FF2B5EF4-FFF2-40B4-BE49-F238E27FC236}">
                  <a16:creationId xmlns:a16="http://schemas.microsoft.com/office/drawing/2014/main" id="{46FBD5E6-D65A-BD75-6C40-ECB8F1306C6A}"/>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3C9AB41C-656C-4438-E31B-BC4A2CEC568D}"/>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6"/>
              <a:extLst>
                <a:ext uri="{FF2B5EF4-FFF2-40B4-BE49-F238E27FC236}">
                  <a16:creationId xmlns:a16="http://schemas.microsoft.com/office/drawing/2014/main" id="{E16378FD-6385-0925-AAA4-5BB4A3DFF098}"/>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grpSp>
        <xdr:nvGrpSpPr>
          <xdr:cNvPr id="29" name="Group 28">
            <a:extLst>
              <a:ext uri="{FF2B5EF4-FFF2-40B4-BE49-F238E27FC236}">
                <a16:creationId xmlns:a16="http://schemas.microsoft.com/office/drawing/2014/main" id="{11882F7C-55DE-A2C5-4A75-A83BC2CB4958}"/>
              </a:ext>
            </a:extLst>
          </xdr:cNvPr>
          <xdr:cNvGrpSpPr/>
        </xdr:nvGrpSpPr>
        <xdr:grpSpPr>
          <a:xfrm>
            <a:off x="0" y="6646426"/>
            <a:ext cx="1707169" cy="462814"/>
            <a:chOff x="0" y="6922179"/>
            <a:chExt cx="1725184" cy="482848"/>
          </a:xfrm>
        </xdr:grpSpPr>
        <xdr:sp macro="" textlink="">
          <xdr:nvSpPr>
            <xdr:cNvPr id="46" name="Rectangle: Rounded Corners 45">
              <a:extLst>
                <a:ext uri="{FF2B5EF4-FFF2-40B4-BE49-F238E27FC236}">
                  <a16:creationId xmlns:a16="http://schemas.microsoft.com/office/drawing/2014/main" id="{26E7AED3-98C7-6FB3-DCEC-1A6B9D7DD335}"/>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16"/>
              <a:extLst>
                <a:ext uri="{FF2B5EF4-FFF2-40B4-BE49-F238E27FC236}">
                  <a16:creationId xmlns:a16="http://schemas.microsoft.com/office/drawing/2014/main" id="{D2C77837-887E-1E87-FBA5-F28C06D69563}"/>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4CA8242B-8C42-5973-A19B-4527E0BB04A5}"/>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27"/>
              <a:extLst>
                <a:ext uri="{FF2B5EF4-FFF2-40B4-BE49-F238E27FC236}">
                  <a16:creationId xmlns:a16="http://schemas.microsoft.com/office/drawing/2014/main" id="{1713FF56-8F01-A10B-23A8-0A39EA8C9834}"/>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grpSp>
        <xdr:nvGrpSpPr>
          <xdr:cNvPr id="30" name="Group 29">
            <a:extLst>
              <a:ext uri="{FF2B5EF4-FFF2-40B4-BE49-F238E27FC236}">
                <a16:creationId xmlns:a16="http://schemas.microsoft.com/office/drawing/2014/main" id="{008B30DB-AC63-54EC-E44A-456E27E388CD}"/>
              </a:ext>
            </a:extLst>
          </xdr:cNvPr>
          <xdr:cNvGrpSpPr/>
        </xdr:nvGrpSpPr>
        <xdr:grpSpPr>
          <a:xfrm>
            <a:off x="3912" y="12329338"/>
            <a:ext cx="1707169" cy="472108"/>
            <a:chOff x="847" y="12324893"/>
            <a:chExt cx="1725184" cy="486884"/>
          </a:xfrm>
        </xdr:grpSpPr>
        <xdr:sp macro="" textlink="">
          <xdr:nvSpPr>
            <xdr:cNvPr id="42" name="Rectangle: Rounded Corners 41">
              <a:extLst>
                <a:ext uri="{FF2B5EF4-FFF2-40B4-BE49-F238E27FC236}">
                  <a16:creationId xmlns:a16="http://schemas.microsoft.com/office/drawing/2014/main" id="{ECE4751B-AC60-B635-6495-C64622828626}"/>
                </a:ext>
              </a:extLst>
            </xdr:cNvPr>
            <xdr:cNvSpPr/>
          </xdr:nvSpPr>
          <xdr:spPr>
            <a:xfrm>
              <a:off x="847" y="12331506"/>
              <a:ext cx="1709047" cy="480079"/>
            </a:xfrm>
            <a:prstGeom prst="roundRect">
              <a:avLst>
                <a:gd name="adj" fmla="val 6708"/>
              </a:avLst>
            </a:prstGeom>
            <a:solidFill>
              <a:srgbClr val="6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3" name="TextBox 42">
              <a:hlinkClick xmlns:r="http://schemas.openxmlformats.org/officeDocument/2006/relationships" r:id="rId28"/>
              <a:extLst>
                <a:ext uri="{FF2B5EF4-FFF2-40B4-BE49-F238E27FC236}">
                  <a16:creationId xmlns:a16="http://schemas.microsoft.com/office/drawing/2014/main" id="{F3076CE0-2F2E-E654-6EDF-95CDAE7A6262}"/>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44" name="Oval 43">
              <a:extLst>
                <a:ext uri="{FF2B5EF4-FFF2-40B4-BE49-F238E27FC236}">
                  <a16:creationId xmlns:a16="http://schemas.microsoft.com/office/drawing/2014/main" id="{B7CEED86-79F7-0D8B-7F05-A1AE4D16438F}"/>
                </a:ext>
              </a:extLst>
            </xdr:cNvPr>
            <xdr:cNvSpPr/>
          </xdr:nvSpPr>
          <xdr:spPr>
            <a:xfrm>
              <a:off x="95433" y="12414753"/>
              <a:ext cx="286142" cy="312732"/>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5" name="TextBox 44">
              <a:hlinkClick xmlns:r="http://schemas.openxmlformats.org/officeDocument/2006/relationships" r:id="rId28"/>
              <a:extLst>
                <a:ext uri="{FF2B5EF4-FFF2-40B4-BE49-F238E27FC236}">
                  <a16:creationId xmlns:a16="http://schemas.microsoft.com/office/drawing/2014/main" id="{70C98F81-C147-BD88-85CF-EA209777EE70}"/>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Sewerage System Rules</a:t>
              </a:r>
            </a:p>
          </xdr:txBody>
        </xdr:sp>
      </xdr:grpSp>
      <xdr:sp macro="" textlink="">
        <xdr:nvSpPr>
          <xdr:cNvPr id="31" name="TextBox 30">
            <a:extLst>
              <a:ext uri="{FF2B5EF4-FFF2-40B4-BE49-F238E27FC236}">
                <a16:creationId xmlns:a16="http://schemas.microsoft.com/office/drawing/2014/main" id="{C6717BE3-0A26-4F0D-EFAC-D4ED3E0D37D6}"/>
              </a:ext>
            </a:extLst>
          </xdr:cNvPr>
          <xdr:cNvSpPr txBox="1"/>
        </xdr:nvSpPr>
        <xdr:spPr>
          <a:xfrm>
            <a:off x="73224" y="13573591"/>
            <a:ext cx="1589159" cy="1886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32" name="Group 31">
            <a:extLst>
              <a:ext uri="{FF2B5EF4-FFF2-40B4-BE49-F238E27FC236}">
                <a16:creationId xmlns:a16="http://schemas.microsoft.com/office/drawing/2014/main" id="{BFD7CCB7-8F88-8D1D-FA6D-3E8EAB11AB31}"/>
              </a:ext>
            </a:extLst>
          </xdr:cNvPr>
          <xdr:cNvGrpSpPr/>
        </xdr:nvGrpSpPr>
        <xdr:grpSpPr>
          <a:xfrm>
            <a:off x="5742" y="11380942"/>
            <a:ext cx="1706211" cy="465730"/>
            <a:chOff x="4477" y="11347997"/>
            <a:chExt cx="1725184" cy="480012"/>
          </a:xfrm>
        </xdr:grpSpPr>
        <xdr:sp macro="" textlink="">
          <xdr:nvSpPr>
            <xdr:cNvPr id="38" name="Rectangle: Rounded Corners 37">
              <a:extLst>
                <a:ext uri="{FF2B5EF4-FFF2-40B4-BE49-F238E27FC236}">
                  <a16:creationId xmlns:a16="http://schemas.microsoft.com/office/drawing/2014/main" id="{07D00319-ED2C-5E28-2B7A-92EE4B800C98}"/>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29"/>
              <a:extLst>
                <a:ext uri="{FF2B5EF4-FFF2-40B4-BE49-F238E27FC236}">
                  <a16:creationId xmlns:a16="http://schemas.microsoft.com/office/drawing/2014/main" id="{DA47686D-E8AD-7615-9FEF-3959EE9F9888}"/>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0" name="Oval 39">
              <a:extLst>
                <a:ext uri="{FF2B5EF4-FFF2-40B4-BE49-F238E27FC236}">
                  <a16:creationId xmlns:a16="http://schemas.microsoft.com/office/drawing/2014/main" id="{44DAF02E-CB79-0383-6464-3F2F33DF3E21}"/>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29"/>
              <a:extLst>
                <a:ext uri="{FF2B5EF4-FFF2-40B4-BE49-F238E27FC236}">
                  <a16:creationId xmlns:a16="http://schemas.microsoft.com/office/drawing/2014/main" id="{36550801-A2CA-B1BB-4C0C-A536267E4FBD}"/>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grpSp>
        <xdr:nvGrpSpPr>
          <xdr:cNvPr id="33" name="Group 32">
            <a:extLst>
              <a:ext uri="{FF2B5EF4-FFF2-40B4-BE49-F238E27FC236}">
                <a16:creationId xmlns:a16="http://schemas.microsoft.com/office/drawing/2014/main" id="{21463ECA-0FE6-6ACD-5C67-3F64EB4D84AD}"/>
              </a:ext>
            </a:extLst>
          </xdr:cNvPr>
          <xdr:cNvGrpSpPr/>
        </xdr:nvGrpSpPr>
        <xdr:grpSpPr>
          <a:xfrm>
            <a:off x="281" y="12811941"/>
            <a:ext cx="1708983" cy="472108"/>
            <a:chOff x="847" y="12324893"/>
            <a:chExt cx="1725184" cy="486884"/>
          </a:xfrm>
        </xdr:grpSpPr>
        <xdr:sp macro="" textlink="">
          <xdr:nvSpPr>
            <xdr:cNvPr id="34" name="Rectangle: Rounded Corners 33">
              <a:extLst>
                <a:ext uri="{FF2B5EF4-FFF2-40B4-BE49-F238E27FC236}">
                  <a16:creationId xmlns:a16="http://schemas.microsoft.com/office/drawing/2014/main" id="{ACEE9DF6-818F-A56E-A0F9-668B6335FD39}"/>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5" name="TextBox 34">
              <a:hlinkClick xmlns:r="http://schemas.openxmlformats.org/officeDocument/2006/relationships" r:id="rId30"/>
              <a:extLst>
                <a:ext uri="{FF2B5EF4-FFF2-40B4-BE49-F238E27FC236}">
                  <a16:creationId xmlns:a16="http://schemas.microsoft.com/office/drawing/2014/main" id="{E6D2367D-1F0A-BE1C-4920-463F98FAF271}"/>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36" name="Oval 35">
              <a:extLst>
                <a:ext uri="{FF2B5EF4-FFF2-40B4-BE49-F238E27FC236}">
                  <a16:creationId xmlns:a16="http://schemas.microsoft.com/office/drawing/2014/main" id="{8276B296-C402-842B-955C-394970543FF8}"/>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7" name="TextBox 36">
              <a:hlinkClick xmlns:r="http://schemas.openxmlformats.org/officeDocument/2006/relationships" r:id="rId30"/>
              <a:extLst>
                <a:ext uri="{FF2B5EF4-FFF2-40B4-BE49-F238E27FC236}">
                  <a16:creationId xmlns:a16="http://schemas.microsoft.com/office/drawing/2014/main" id="{3E168737-4783-EE56-7D27-31D5EA6FE029}"/>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7CC15909-CA08-49E4-80C6-4EDF4DA8DBB4}"/>
            </a:ext>
          </a:extLst>
        </xdr:cNvPr>
        <xdr:cNvGrpSpPr/>
      </xdr:nvGrpSpPr>
      <xdr:grpSpPr>
        <a:xfrm>
          <a:off x="9505950" y="0"/>
          <a:ext cx="774288" cy="286106"/>
          <a:chOff x="7108587" y="129950"/>
          <a:chExt cx="884099" cy="287016"/>
        </a:xfrm>
      </xdr:grpSpPr>
      <xdr:pic>
        <xdr:nvPicPr>
          <xdr:cNvPr id="161" name="Graphic 160" descr="Rewind with solid fill">
            <a:hlinkClick xmlns:r="http://schemas.openxmlformats.org/officeDocument/2006/relationships" r:id="rId31"/>
            <a:extLst>
              <a:ext uri="{FF2B5EF4-FFF2-40B4-BE49-F238E27FC236}">
                <a16:creationId xmlns:a16="http://schemas.microsoft.com/office/drawing/2014/main" id="{F31DBC67-F0D3-41A5-7086-AF7C78720C9A}"/>
              </a:ext>
            </a:extLst>
          </xdr:cNvPr>
          <xdr:cNvPicPr>
            <a:picLocks noChangeAspect="1"/>
          </xdr:cNvPicPr>
        </xdr:nvPicPr>
        <xdr:blipFill>
          <a:blip xmlns:r="http://schemas.openxmlformats.org/officeDocument/2006/relationships" r:embed="rId32">
            <a:extLst>
              <a:ext uri="{96DAC541-7B7A-43D3-8B79-37D633B846F1}">
                <asvg:svgBlip xmlns:asvg="http://schemas.microsoft.com/office/drawing/2016/SVG/main" r:embed="rId33"/>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31"/>
            <a:extLst>
              <a:ext uri="{FF2B5EF4-FFF2-40B4-BE49-F238E27FC236}">
                <a16:creationId xmlns:a16="http://schemas.microsoft.com/office/drawing/2014/main" id="{E17A8017-29B2-9DD1-F4B8-AFFD381D2616}"/>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774288</xdr:colOff>
      <xdr:row>1</xdr:row>
      <xdr:rowOff>84061</xdr:rowOff>
    </xdr:to>
    <xdr:grpSp>
      <xdr:nvGrpSpPr>
        <xdr:cNvPr id="160" name="Group 159">
          <a:extLst>
            <a:ext uri="{FF2B5EF4-FFF2-40B4-BE49-F238E27FC236}">
              <a16:creationId xmlns:a16="http://schemas.microsoft.com/office/drawing/2014/main" id="{A47FA4D1-2D34-48D6-AE92-29F5D326500A}"/>
            </a:ext>
          </a:extLst>
        </xdr:cNvPr>
        <xdr:cNvGrpSpPr/>
      </xdr:nvGrpSpPr>
      <xdr:grpSpPr>
        <a:xfrm>
          <a:off x="9900478" y="0"/>
          <a:ext cx="774288" cy="288365"/>
          <a:chOff x="7108587" y="129950"/>
          <a:chExt cx="884099" cy="287016"/>
        </a:xfrm>
      </xdr:grpSpPr>
      <xdr:pic>
        <xdr:nvPicPr>
          <xdr:cNvPr id="161" name="Graphic 160" descr="Rewind with solid fill">
            <a:hlinkClick xmlns:r="http://schemas.openxmlformats.org/officeDocument/2006/relationships" r:id="rId1"/>
            <a:extLst>
              <a:ext uri="{FF2B5EF4-FFF2-40B4-BE49-F238E27FC236}">
                <a16:creationId xmlns:a16="http://schemas.microsoft.com/office/drawing/2014/main" id="{29A52E84-CDF2-A761-1497-EE82AB518C7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1"/>
            <a:extLst>
              <a:ext uri="{FF2B5EF4-FFF2-40B4-BE49-F238E27FC236}">
                <a16:creationId xmlns:a16="http://schemas.microsoft.com/office/drawing/2014/main" id="{C2BD1ECC-E5A7-0543-4182-4372D56EDAEA}"/>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0</xdr:row>
      <xdr:rowOff>0</xdr:rowOff>
    </xdr:from>
    <xdr:to>
      <xdr:col>0</xdr:col>
      <xdr:colOff>1841776</xdr:colOff>
      <xdr:row>68</xdr:row>
      <xdr:rowOff>6684</xdr:rowOff>
    </xdr:to>
    <xdr:sp macro="" textlink="">
      <xdr:nvSpPr>
        <xdr:cNvPr id="3" name="Rectangle: Rounded Corners 2">
          <a:extLst>
            <a:ext uri="{FF2B5EF4-FFF2-40B4-BE49-F238E27FC236}">
              <a16:creationId xmlns:a16="http://schemas.microsoft.com/office/drawing/2014/main" id="{72729666-9FA7-1B06-5E9B-074C8712E60B}"/>
            </a:ext>
          </a:extLst>
        </xdr:cNvPr>
        <xdr:cNvSpPr/>
      </xdr:nvSpPr>
      <xdr:spPr>
        <a:xfrm>
          <a:off x="0" y="0"/>
          <a:ext cx="1841776" cy="14756201"/>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8181</xdr:colOff>
      <xdr:row>6</xdr:row>
      <xdr:rowOff>316528</xdr:rowOff>
    </xdr:from>
    <xdr:to>
      <xdr:col>0</xdr:col>
      <xdr:colOff>1713076</xdr:colOff>
      <xdr:row>7</xdr:row>
      <xdr:rowOff>50759</xdr:rowOff>
    </xdr:to>
    <xdr:grpSp>
      <xdr:nvGrpSpPr>
        <xdr:cNvPr id="9" name="Group 8">
          <a:extLst>
            <a:ext uri="{FF2B5EF4-FFF2-40B4-BE49-F238E27FC236}">
              <a16:creationId xmlns:a16="http://schemas.microsoft.com/office/drawing/2014/main" id="{51FBE04B-6FDB-9EC2-4AE9-645C231C1C8A}"/>
            </a:ext>
          </a:extLst>
        </xdr:cNvPr>
        <xdr:cNvGrpSpPr/>
      </xdr:nvGrpSpPr>
      <xdr:grpSpPr>
        <a:xfrm>
          <a:off x="8181" y="3105006"/>
          <a:ext cx="1704895" cy="468623"/>
          <a:chOff x="8513" y="2976867"/>
          <a:chExt cx="1722818" cy="451725"/>
        </a:xfrm>
      </xdr:grpSpPr>
      <xdr:sp macro="" textlink="">
        <xdr:nvSpPr>
          <xdr:cNvPr id="120" name="Rectangle: Rounded Corners 119">
            <a:extLst>
              <a:ext uri="{FF2B5EF4-FFF2-40B4-BE49-F238E27FC236}">
                <a16:creationId xmlns:a16="http://schemas.microsoft.com/office/drawing/2014/main" id="{001E3486-D010-132C-54C6-B47AF65EABA4}"/>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1" name="TextBox 120">
            <a:hlinkClick xmlns:r="http://schemas.openxmlformats.org/officeDocument/2006/relationships" r:id="rId4"/>
            <a:extLst>
              <a:ext uri="{FF2B5EF4-FFF2-40B4-BE49-F238E27FC236}">
                <a16:creationId xmlns:a16="http://schemas.microsoft.com/office/drawing/2014/main" id="{6C0A8F5E-D79A-6A4F-4DF4-77ADA9EA16FA}"/>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2" name="Oval 121">
            <a:extLst>
              <a:ext uri="{FF2B5EF4-FFF2-40B4-BE49-F238E27FC236}">
                <a16:creationId xmlns:a16="http://schemas.microsoft.com/office/drawing/2014/main" id="{3CCCC0F9-40B5-90F7-97DE-7D25F8AD036F}"/>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3" name="TextBox 122">
            <a:hlinkClick xmlns:r="http://schemas.openxmlformats.org/officeDocument/2006/relationships" r:id="rId5"/>
            <a:extLst>
              <a:ext uri="{FF2B5EF4-FFF2-40B4-BE49-F238E27FC236}">
                <a16:creationId xmlns:a16="http://schemas.microsoft.com/office/drawing/2014/main" id="{D056549A-DE9D-17EF-832F-48A6BC5B8E63}"/>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10917</xdr:colOff>
      <xdr:row>0</xdr:row>
      <xdr:rowOff>0</xdr:rowOff>
    </xdr:from>
    <xdr:to>
      <xdr:col>0</xdr:col>
      <xdr:colOff>1717958</xdr:colOff>
      <xdr:row>6</xdr:row>
      <xdr:rowOff>301903</xdr:rowOff>
    </xdr:to>
    <xdr:grpSp>
      <xdr:nvGrpSpPr>
        <xdr:cNvPr id="185" name="Group 184">
          <a:extLst>
            <a:ext uri="{FF2B5EF4-FFF2-40B4-BE49-F238E27FC236}">
              <a16:creationId xmlns:a16="http://schemas.microsoft.com/office/drawing/2014/main" id="{8D26309B-C79A-343B-0E35-82B6BAB6FC9E}"/>
            </a:ext>
          </a:extLst>
        </xdr:cNvPr>
        <xdr:cNvGrpSpPr/>
      </xdr:nvGrpSpPr>
      <xdr:grpSpPr>
        <a:xfrm>
          <a:off x="10917" y="0"/>
          <a:ext cx="1707041" cy="3090381"/>
          <a:chOff x="10917" y="0"/>
          <a:chExt cx="1707041" cy="3008551"/>
        </a:xfrm>
      </xdr:grpSpPr>
      <xdr:grpSp>
        <xdr:nvGrpSpPr>
          <xdr:cNvPr id="4" name="Group 3">
            <a:extLst>
              <a:ext uri="{FF2B5EF4-FFF2-40B4-BE49-F238E27FC236}">
                <a16:creationId xmlns:a16="http://schemas.microsoft.com/office/drawing/2014/main" id="{55D18CA2-2FF3-978B-4D26-C3765ACB0C2F}"/>
              </a:ext>
            </a:extLst>
          </xdr:cNvPr>
          <xdr:cNvGrpSpPr/>
        </xdr:nvGrpSpPr>
        <xdr:grpSpPr>
          <a:xfrm>
            <a:off x="11239" y="644787"/>
            <a:ext cx="1704895" cy="448184"/>
            <a:chOff x="17891" y="510932"/>
            <a:chExt cx="1724265" cy="444500"/>
          </a:xfrm>
        </xdr:grpSpPr>
        <xdr:sp macro="" textlink="">
          <xdr:nvSpPr>
            <xdr:cNvPr id="133" name="Rectangle: Rounded Corners 132">
              <a:extLst>
                <a:ext uri="{FF2B5EF4-FFF2-40B4-BE49-F238E27FC236}">
                  <a16:creationId xmlns:a16="http://schemas.microsoft.com/office/drawing/2014/main" id="{195C3B35-44BA-D41B-1B78-3B5C878F1FEF}"/>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4" name="TextBox 133">
              <a:hlinkClick xmlns:r="http://schemas.openxmlformats.org/officeDocument/2006/relationships" r:id="rId6"/>
              <a:extLst>
                <a:ext uri="{FF2B5EF4-FFF2-40B4-BE49-F238E27FC236}">
                  <a16:creationId xmlns:a16="http://schemas.microsoft.com/office/drawing/2014/main" id="{D4EA8D01-ABF0-7256-C413-D119703EC353}"/>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5" name="Oval 134">
              <a:extLst>
                <a:ext uri="{FF2B5EF4-FFF2-40B4-BE49-F238E27FC236}">
                  <a16:creationId xmlns:a16="http://schemas.microsoft.com/office/drawing/2014/main" id="{D7FD575B-74BA-F332-BA4D-7C59FC80DA9B}"/>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pic>
        <xdr:nvPicPr>
          <xdr:cNvPr id="5" name="Graphic 4" descr="Home with solid fill">
            <a:hlinkClick xmlns:r="http://schemas.openxmlformats.org/officeDocument/2006/relationships" r:id="rId7"/>
            <a:extLst>
              <a:ext uri="{FF2B5EF4-FFF2-40B4-BE49-F238E27FC236}">
                <a16:creationId xmlns:a16="http://schemas.microsoft.com/office/drawing/2014/main" id="{7172E07E-53B0-EC0A-FFFB-8360DA7774F8}"/>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43860" y="0"/>
            <a:ext cx="403302" cy="401630"/>
          </a:xfrm>
          <a:prstGeom prst="rect">
            <a:avLst/>
          </a:prstGeom>
        </xdr:spPr>
      </xdr:pic>
      <xdr:grpSp>
        <xdr:nvGrpSpPr>
          <xdr:cNvPr id="6" name="Group 5">
            <a:extLst>
              <a:ext uri="{FF2B5EF4-FFF2-40B4-BE49-F238E27FC236}">
                <a16:creationId xmlns:a16="http://schemas.microsoft.com/office/drawing/2014/main" id="{C668D332-C125-238E-9E6A-5A64149E92DB}"/>
              </a:ext>
            </a:extLst>
          </xdr:cNvPr>
          <xdr:cNvGrpSpPr/>
        </xdr:nvGrpSpPr>
        <xdr:grpSpPr>
          <a:xfrm>
            <a:off x="10917" y="1116648"/>
            <a:ext cx="1704895" cy="449994"/>
            <a:chOff x="23753" y="989136"/>
            <a:chExt cx="1724265" cy="444500"/>
          </a:xfrm>
        </xdr:grpSpPr>
        <xdr:sp macro="" textlink="">
          <xdr:nvSpPr>
            <xdr:cNvPr id="130" name="Rectangle: Rounded Corners 129">
              <a:extLst>
                <a:ext uri="{FF2B5EF4-FFF2-40B4-BE49-F238E27FC236}">
                  <a16:creationId xmlns:a16="http://schemas.microsoft.com/office/drawing/2014/main" id="{5DFA08F7-976B-B20C-C99F-3968C406780D}"/>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1" name="TextBox 130">
              <a:hlinkClick xmlns:r="http://schemas.openxmlformats.org/officeDocument/2006/relationships" r:id="rId10"/>
              <a:extLst>
                <a:ext uri="{FF2B5EF4-FFF2-40B4-BE49-F238E27FC236}">
                  <a16:creationId xmlns:a16="http://schemas.microsoft.com/office/drawing/2014/main" id="{FBF71AFB-B57C-C808-4A06-273AF736F8B4}"/>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2" name="Oval 131">
              <a:extLst>
                <a:ext uri="{FF2B5EF4-FFF2-40B4-BE49-F238E27FC236}">
                  <a16:creationId xmlns:a16="http://schemas.microsoft.com/office/drawing/2014/main" id="{C27426E9-D3DD-EF01-C7DD-9A4D548B92FD}"/>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7" name="Group 6">
            <a:extLst>
              <a:ext uri="{FF2B5EF4-FFF2-40B4-BE49-F238E27FC236}">
                <a16:creationId xmlns:a16="http://schemas.microsoft.com/office/drawing/2014/main" id="{9C2BC76C-4123-2CDA-CF27-C303373ED140}"/>
              </a:ext>
            </a:extLst>
          </xdr:cNvPr>
          <xdr:cNvGrpSpPr/>
        </xdr:nvGrpSpPr>
        <xdr:grpSpPr>
          <a:xfrm>
            <a:off x="13063" y="2095136"/>
            <a:ext cx="1704895" cy="447056"/>
            <a:chOff x="13593" y="1983238"/>
            <a:chExt cx="1722818" cy="443309"/>
          </a:xfrm>
        </xdr:grpSpPr>
        <xdr:sp macro="" textlink="">
          <xdr:nvSpPr>
            <xdr:cNvPr id="127" name="Rectangle: Rounded Corners 126">
              <a:extLst>
                <a:ext uri="{FF2B5EF4-FFF2-40B4-BE49-F238E27FC236}">
                  <a16:creationId xmlns:a16="http://schemas.microsoft.com/office/drawing/2014/main" id="{4690D7E9-AEF2-350D-B80A-E9BE41F32861}"/>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8" name="TextBox 127">
              <a:hlinkClick xmlns:r="http://schemas.openxmlformats.org/officeDocument/2006/relationships" r:id="rId11"/>
              <a:extLst>
                <a:ext uri="{FF2B5EF4-FFF2-40B4-BE49-F238E27FC236}">
                  <a16:creationId xmlns:a16="http://schemas.microsoft.com/office/drawing/2014/main" id="{7A5C0926-B68C-196F-3F45-90F1DB57FC5C}"/>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29" name="Oval 128">
              <a:extLst>
                <a:ext uri="{FF2B5EF4-FFF2-40B4-BE49-F238E27FC236}">
                  <a16:creationId xmlns:a16="http://schemas.microsoft.com/office/drawing/2014/main" id="{DDC89E47-EA56-4A3A-C1E7-5D26AD0C369D}"/>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8" name="Group 7">
            <a:extLst>
              <a:ext uri="{FF2B5EF4-FFF2-40B4-BE49-F238E27FC236}">
                <a16:creationId xmlns:a16="http://schemas.microsoft.com/office/drawing/2014/main" id="{E8AC7BFD-53DE-4FA6-AECE-857D5034AF66}"/>
              </a:ext>
            </a:extLst>
          </xdr:cNvPr>
          <xdr:cNvGrpSpPr/>
        </xdr:nvGrpSpPr>
        <xdr:grpSpPr>
          <a:xfrm>
            <a:off x="12799" y="2563806"/>
            <a:ext cx="1702717" cy="444745"/>
            <a:chOff x="13317" y="2459028"/>
            <a:chExt cx="1720554" cy="441552"/>
          </a:xfrm>
        </xdr:grpSpPr>
        <xdr:sp macro="" textlink="">
          <xdr:nvSpPr>
            <xdr:cNvPr id="124" name="Rectangle: Rounded Corners 123">
              <a:extLst>
                <a:ext uri="{FF2B5EF4-FFF2-40B4-BE49-F238E27FC236}">
                  <a16:creationId xmlns:a16="http://schemas.microsoft.com/office/drawing/2014/main" id="{E8084931-4AB6-BBDB-0DDC-4C01952BD223}"/>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5" name="TextBox 124">
              <a:hlinkClick xmlns:r="http://schemas.openxmlformats.org/officeDocument/2006/relationships" r:id="rId4"/>
              <a:extLst>
                <a:ext uri="{FF2B5EF4-FFF2-40B4-BE49-F238E27FC236}">
                  <a16:creationId xmlns:a16="http://schemas.microsoft.com/office/drawing/2014/main" id="{084FF17B-3DB9-949E-9292-1020A3B9F25F}"/>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6" name="Oval 125">
              <a:extLst>
                <a:ext uri="{FF2B5EF4-FFF2-40B4-BE49-F238E27FC236}">
                  <a16:creationId xmlns:a16="http://schemas.microsoft.com/office/drawing/2014/main" id="{4CC5A93B-B950-F74D-3167-30BB0D8F5FBD}"/>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10" name="Group 9">
            <a:extLst>
              <a:ext uri="{FF2B5EF4-FFF2-40B4-BE49-F238E27FC236}">
                <a16:creationId xmlns:a16="http://schemas.microsoft.com/office/drawing/2014/main" id="{EAD50AA1-2EEC-4575-ED0A-6A03DA704142}"/>
              </a:ext>
            </a:extLst>
          </xdr:cNvPr>
          <xdr:cNvGrpSpPr/>
        </xdr:nvGrpSpPr>
        <xdr:grpSpPr>
          <a:xfrm>
            <a:off x="11772" y="1588905"/>
            <a:ext cx="1704895" cy="485640"/>
            <a:chOff x="21544" y="1467318"/>
            <a:chExt cx="1724265" cy="477164"/>
          </a:xfrm>
        </xdr:grpSpPr>
        <xdr:sp macro="" textlink="">
          <xdr:nvSpPr>
            <xdr:cNvPr id="117" name="Rectangle: Rounded Corners 116">
              <a:extLst>
                <a:ext uri="{FF2B5EF4-FFF2-40B4-BE49-F238E27FC236}">
                  <a16:creationId xmlns:a16="http://schemas.microsoft.com/office/drawing/2014/main" id="{1B3C4A47-D386-06FB-7493-53454831AD99}"/>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8" name="TextBox 117">
              <a:hlinkClick xmlns:r="http://schemas.openxmlformats.org/officeDocument/2006/relationships" r:id="rId12"/>
              <a:extLst>
                <a:ext uri="{FF2B5EF4-FFF2-40B4-BE49-F238E27FC236}">
                  <a16:creationId xmlns:a16="http://schemas.microsoft.com/office/drawing/2014/main" id="{628BE6EF-7799-17F9-007D-D14F271A1FAE}"/>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19" name="Oval 118">
              <a:extLst>
                <a:ext uri="{FF2B5EF4-FFF2-40B4-BE49-F238E27FC236}">
                  <a16:creationId xmlns:a16="http://schemas.microsoft.com/office/drawing/2014/main" id="{5A19175C-427E-851E-2D07-21AF12F8DCA2}"/>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clientData/>
  </xdr:twoCellAnchor>
  <xdr:twoCellAnchor>
    <xdr:from>
      <xdr:col>0</xdr:col>
      <xdr:colOff>8199</xdr:colOff>
      <xdr:row>7</xdr:row>
      <xdr:rowOff>64261</xdr:rowOff>
    </xdr:from>
    <xdr:to>
      <xdr:col>0</xdr:col>
      <xdr:colOff>1713094</xdr:colOff>
      <xdr:row>9</xdr:row>
      <xdr:rowOff>180652</xdr:rowOff>
    </xdr:to>
    <xdr:grpSp>
      <xdr:nvGrpSpPr>
        <xdr:cNvPr id="11" name="Group 10">
          <a:extLst>
            <a:ext uri="{FF2B5EF4-FFF2-40B4-BE49-F238E27FC236}">
              <a16:creationId xmlns:a16="http://schemas.microsoft.com/office/drawing/2014/main" id="{4DC545FA-DB7A-CB5F-036D-B78DB7D4C9BC}"/>
            </a:ext>
          </a:extLst>
        </xdr:cNvPr>
        <xdr:cNvGrpSpPr/>
      </xdr:nvGrpSpPr>
      <xdr:grpSpPr>
        <a:xfrm>
          <a:off x="8199" y="3587131"/>
          <a:ext cx="1704895" cy="480825"/>
          <a:chOff x="8532" y="3456662"/>
          <a:chExt cx="1722818" cy="482122"/>
        </a:xfrm>
      </xdr:grpSpPr>
      <xdr:sp macro="" textlink="">
        <xdr:nvSpPr>
          <xdr:cNvPr id="113" name="Rectangle: Rounded Corners 112">
            <a:extLst>
              <a:ext uri="{FF2B5EF4-FFF2-40B4-BE49-F238E27FC236}">
                <a16:creationId xmlns:a16="http://schemas.microsoft.com/office/drawing/2014/main" id="{87D06EEF-A987-69D0-1E9F-230C75041DCF}"/>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4" name="TextBox 113">
            <a:hlinkClick xmlns:r="http://schemas.openxmlformats.org/officeDocument/2006/relationships" r:id="rId13"/>
            <a:extLst>
              <a:ext uri="{FF2B5EF4-FFF2-40B4-BE49-F238E27FC236}">
                <a16:creationId xmlns:a16="http://schemas.microsoft.com/office/drawing/2014/main" id="{17B92BA2-BFF4-9118-54FC-04EC3432905E}"/>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5" name="Oval 114">
            <a:extLst>
              <a:ext uri="{FF2B5EF4-FFF2-40B4-BE49-F238E27FC236}">
                <a16:creationId xmlns:a16="http://schemas.microsoft.com/office/drawing/2014/main" id="{640D6224-60DD-2382-4C07-9750576E1A0C}"/>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6" name="TextBox 115">
            <a:hlinkClick xmlns:r="http://schemas.openxmlformats.org/officeDocument/2006/relationships" r:id="rId13"/>
            <a:extLst>
              <a:ext uri="{FF2B5EF4-FFF2-40B4-BE49-F238E27FC236}">
                <a16:creationId xmlns:a16="http://schemas.microsoft.com/office/drawing/2014/main" id="{159C99EC-6E4F-7081-689D-48CEFE50C24B}"/>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10</xdr:row>
      <xdr:rowOff>9829</xdr:rowOff>
    </xdr:from>
    <xdr:to>
      <xdr:col>0</xdr:col>
      <xdr:colOff>1713246</xdr:colOff>
      <xdr:row>12</xdr:row>
      <xdr:rowOff>96440</xdr:rowOff>
    </xdr:to>
    <xdr:grpSp>
      <xdr:nvGrpSpPr>
        <xdr:cNvPr id="12" name="Group 11">
          <a:extLst>
            <a:ext uri="{FF2B5EF4-FFF2-40B4-BE49-F238E27FC236}">
              <a16:creationId xmlns:a16="http://schemas.microsoft.com/office/drawing/2014/main" id="{01771369-5389-EC53-6FB7-8D46EC22BBB9}"/>
            </a:ext>
          </a:extLst>
        </xdr:cNvPr>
        <xdr:cNvGrpSpPr/>
      </xdr:nvGrpSpPr>
      <xdr:grpSpPr>
        <a:xfrm>
          <a:off x="6077" y="4079351"/>
          <a:ext cx="1707169" cy="451046"/>
          <a:chOff x="6323" y="3964228"/>
          <a:chExt cx="1725184" cy="454551"/>
        </a:xfrm>
      </xdr:grpSpPr>
      <xdr:sp macro="" textlink="">
        <xdr:nvSpPr>
          <xdr:cNvPr id="109" name="Rectangle: Rounded Corners 108">
            <a:extLst>
              <a:ext uri="{FF2B5EF4-FFF2-40B4-BE49-F238E27FC236}">
                <a16:creationId xmlns:a16="http://schemas.microsoft.com/office/drawing/2014/main" id="{077F9A01-8FB2-D081-5B5E-EFAB2396C9E3}"/>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0" name="TextBox 109">
            <a:hlinkClick xmlns:r="http://schemas.openxmlformats.org/officeDocument/2006/relationships" r:id="rId14"/>
            <a:extLst>
              <a:ext uri="{FF2B5EF4-FFF2-40B4-BE49-F238E27FC236}">
                <a16:creationId xmlns:a16="http://schemas.microsoft.com/office/drawing/2014/main" id="{028FF78D-EC76-CD10-89D3-901B5D6371F6}"/>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1" name="Oval 110">
            <a:extLst>
              <a:ext uri="{FF2B5EF4-FFF2-40B4-BE49-F238E27FC236}">
                <a16:creationId xmlns:a16="http://schemas.microsoft.com/office/drawing/2014/main" id="{8A4CA5C4-3D36-2CC3-2AA4-969020949291}"/>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2" name="TextBox 111">
            <a:hlinkClick xmlns:r="http://schemas.openxmlformats.org/officeDocument/2006/relationships" r:id="rId14"/>
            <a:extLst>
              <a:ext uri="{FF2B5EF4-FFF2-40B4-BE49-F238E27FC236}">
                <a16:creationId xmlns:a16="http://schemas.microsoft.com/office/drawing/2014/main" id="{1037D470-A30F-5787-E116-0391A177A94E}"/>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12</xdr:row>
      <xdr:rowOff>114087</xdr:rowOff>
    </xdr:from>
    <xdr:to>
      <xdr:col>0</xdr:col>
      <xdr:colOff>1709917</xdr:colOff>
      <xdr:row>15</xdr:row>
      <xdr:rowOff>56542</xdr:rowOff>
    </xdr:to>
    <xdr:grpSp>
      <xdr:nvGrpSpPr>
        <xdr:cNvPr id="13" name="Group 12">
          <a:extLst>
            <a:ext uri="{FF2B5EF4-FFF2-40B4-BE49-F238E27FC236}">
              <a16:creationId xmlns:a16="http://schemas.microsoft.com/office/drawing/2014/main" id="{AD67F48F-AA4C-746E-1B93-03ABD29AE1F4}"/>
            </a:ext>
          </a:extLst>
        </xdr:cNvPr>
        <xdr:cNvGrpSpPr/>
      </xdr:nvGrpSpPr>
      <xdr:grpSpPr>
        <a:xfrm>
          <a:off x="2748" y="4548044"/>
          <a:ext cx="1707169" cy="489107"/>
          <a:chOff x="2860" y="4442071"/>
          <a:chExt cx="1725184" cy="485874"/>
        </a:xfrm>
      </xdr:grpSpPr>
      <xdr:sp macro="" textlink="">
        <xdr:nvSpPr>
          <xdr:cNvPr id="105" name="Rectangle: Rounded Corners 104">
            <a:extLst>
              <a:ext uri="{FF2B5EF4-FFF2-40B4-BE49-F238E27FC236}">
                <a16:creationId xmlns:a16="http://schemas.microsoft.com/office/drawing/2014/main" id="{1ED7F0FA-C6C3-DBF3-80B7-9DD9BCF7CC50}"/>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6" name="TextBox 105">
            <a:hlinkClick xmlns:r="http://schemas.openxmlformats.org/officeDocument/2006/relationships" r:id="rId15"/>
            <a:extLst>
              <a:ext uri="{FF2B5EF4-FFF2-40B4-BE49-F238E27FC236}">
                <a16:creationId xmlns:a16="http://schemas.microsoft.com/office/drawing/2014/main" id="{511BE96F-3C9D-A774-1F35-D4284CC979B7}"/>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7" name="Oval 106">
            <a:extLst>
              <a:ext uri="{FF2B5EF4-FFF2-40B4-BE49-F238E27FC236}">
                <a16:creationId xmlns:a16="http://schemas.microsoft.com/office/drawing/2014/main" id="{8224733E-B3D9-923D-9F5B-8AB999607AAB}"/>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8" name="TextBox 107">
            <a:hlinkClick xmlns:r="http://schemas.openxmlformats.org/officeDocument/2006/relationships" r:id="rId15"/>
            <a:extLst>
              <a:ext uri="{FF2B5EF4-FFF2-40B4-BE49-F238E27FC236}">
                <a16:creationId xmlns:a16="http://schemas.microsoft.com/office/drawing/2014/main" id="{97DCFFCD-BDDD-3825-1F72-15C773E80E1D}"/>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15</xdr:row>
      <xdr:rowOff>79422</xdr:rowOff>
    </xdr:from>
    <xdr:to>
      <xdr:col>0</xdr:col>
      <xdr:colOff>1709302</xdr:colOff>
      <xdr:row>17</xdr:row>
      <xdr:rowOff>160427</xdr:rowOff>
    </xdr:to>
    <xdr:grpSp>
      <xdr:nvGrpSpPr>
        <xdr:cNvPr id="14" name="Group 13">
          <a:extLst>
            <a:ext uri="{FF2B5EF4-FFF2-40B4-BE49-F238E27FC236}">
              <a16:creationId xmlns:a16="http://schemas.microsoft.com/office/drawing/2014/main" id="{71F411DA-5CA5-2B93-7CEC-4A7898C37389}"/>
            </a:ext>
          </a:extLst>
        </xdr:cNvPr>
        <xdr:cNvGrpSpPr/>
      </xdr:nvGrpSpPr>
      <xdr:grpSpPr>
        <a:xfrm>
          <a:off x="2133" y="5060031"/>
          <a:ext cx="1707169" cy="445439"/>
          <a:chOff x="2219" y="4949272"/>
          <a:chExt cx="1725184" cy="456170"/>
        </a:xfrm>
      </xdr:grpSpPr>
      <xdr:sp macro="" textlink="">
        <xdr:nvSpPr>
          <xdr:cNvPr id="101" name="Rectangle: Rounded Corners 100">
            <a:extLst>
              <a:ext uri="{FF2B5EF4-FFF2-40B4-BE49-F238E27FC236}">
                <a16:creationId xmlns:a16="http://schemas.microsoft.com/office/drawing/2014/main" id="{225281B1-845C-5A46-8FE0-6167B0191852}"/>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2" name="TextBox 101">
            <a:hlinkClick xmlns:r="http://schemas.openxmlformats.org/officeDocument/2006/relationships" r:id="rId16"/>
            <a:extLst>
              <a:ext uri="{FF2B5EF4-FFF2-40B4-BE49-F238E27FC236}">
                <a16:creationId xmlns:a16="http://schemas.microsoft.com/office/drawing/2014/main" id="{3E056232-C7A5-B55D-2DA2-92C2FD895EAF}"/>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3" name="Oval 102">
            <a:extLst>
              <a:ext uri="{FF2B5EF4-FFF2-40B4-BE49-F238E27FC236}">
                <a16:creationId xmlns:a16="http://schemas.microsoft.com/office/drawing/2014/main" id="{D32372DF-AE29-C6B8-95BB-B4A4BF892102}"/>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4" name="TextBox 103">
            <a:hlinkClick xmlns:r="http://schemas.openxmlformats.org/officeDocument/2006/relationships" r:id="rId16"/>
            <a:extLst>
              <a:ext uri="{FF2B5EF4-FFF2-40B4-BE49-F238E27FC236}">
                <a16:creationId xmlns:a16="http://schemas.microsoft.com/office/drawing/2014/main" id="{238451A7-6E67-1386-3904-A9D2D53678E8}"/>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17</xdr:row>
      <xdr:rowOff>179802</xdr:rowOff>
    </xdr:from>
    <xdr:to>
      <xdr:col>0</xdr:col>
      <xdr:colOff>1709298</xdr:colOff>
      <xdr:row>20</xdr:row>
      <xdr:rowOff>110686</xdr:rowOff>
    </xdr:to>
    <xdr:grpSp>
      <xdr:nvGrpSpPr>
        <xdr:cNvPr id="15" name="Group 14">
          <a:extLst>
            <a:ext uri="{FF2B5EF4-FFF2-40B4-BE49-F238E27FC236}">
              <a16:creationId xmlns:a16="http://schemas.microsoft.com/office/drawing/2014/main" id="{2345C007-6D36-F60D-9331-3B051914CD17}"/>
            </a:ext>
          </a:extLst>
        </xdr:cNvPr>
        <xdr:cNvGrpSpPr/>
      </xdr:nvGrpSpPr>
      <xdr:grpSpPr>
        <a:xfrm>
          <a:off x="2129" y="5524845"/>
          <a:ext cx="1707169" cy="477537"/>
          <a:chOff x="2215" y="5434042"/>
          <a:chExt cx="1725184" cy="486597"/>
        </a:xfrm>
      </xdr:grpSpPr>
      <xdr:sp macro="" textlink="">
        <xdr:nvSpPr>
          <xdr:cNvPr id="97" name="Rectangle: Rounded Corners 96">
            <a:extLst>
              <a:ext uri="{FF2B5EF4-FFF2-40B4-BE49-F238E27FC236}">
                <a16:creationId xmlns:a16="http://schemas.microsoft.com/office/drawing/2014/main" id="{1A5E7C31-FC87-4079-EC32-85D6DDD501B3}"/>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8" name="TextBox 97">
            <a:hlinkClick xmlns:r="http://schemas.openxmlformats.org/officeDocument/2006/relationships" r:id="rId17"/>
            <a:extLst>
              <a:ext uri="{FF2B5EF4-FFF2-40B4-BE49-F238E27FC236}">
                <a16:creationId xmlns:a16="http://schemas.microsoft.com/office/drawing/2014/main" id="{7AE00526-5ACF-7B7D-76E5-36AF2E71F442}"/>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9" name="Oval 98">
            <a:extLst>
              <a:ext uri="{FF2B5EF4-FFF2-40B4-BE49-F238E27FC236}">
                <a16:creationId xmlns:a16="http://schemas.microsoft.com/office/drawing/2014/main" id="{C83483BF-435D-A039-8B3D-26A7CAE87A8C}"/>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0" name="TextBox 99">
            <a:hlinkClick xmlns:r="http://schemas.openxmlformats.org/officeDocument/2006/relationships" r:id="rId17"/>
            <a:extLst>
              <a:ext uri="{FF2B5EF4-FFF2-40B4-BE49-F238E27FC236}">
                <a16:creationId xmlns:a16="http://schemas.microsoft.com/office/drawing/2014/main" id="{667F3613-7C8A-C30B-AB54-AEA880887992}"/>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20</xdr:row>
      <xdr:rowOff>128973</xdr:rowOff>
    </xdr:from>
    <xdr:to>
      <xdr:col>0</xdr:col>
      <xdr:colOff>1709296</xdr:colOff>
      <xdr:row>23</xdr:row>
      <xdr:rowOff>71428</xdr:rowOff>
    </xdr:to>
    <xdr:grpSp>
      <xdr:nvGrpSpPr>
        <xdr:cNvPr id="16" name="Group 15">
          <a:extLst>
            <a:ext uri="{FF2B5EF4-FFF2-40B4-BE49-F238E27FC236}">
              <a16:creationId xmlns:a16="http://schemas.microsoft.com/office/drawing/2014/main" id="{E010E676-B5A9-E3C9-2F70-55CDB85BE243}"/>
            </a:ext>
          </a:extLst>
        </xdr:cNvPr>
        <xdr:cNvGrpSpPr/>
      </xdr:nvGrpSpPr>
      <xdr:grpSpPr>
        <a:xfrm>
          <a:off x="2127" y="6020669"/>
          <a:ext cx="1707169" cy="489107"/>
          <a:chOff x="2213" y="5938772"/>
          <a:chExt cx="1725184" cy="485874"/>
        </a:xfrm>
      </xdr:grpSpPr>
      <xdr:sp macro="" textlink="">
        <xdr:nvSpPr>
          <xdr:cNvPr id="93" name="Rectangle: Rounded Corners 92">
            <a:extLst>
              <a:ext uri="{FF2B5EF4-FFF2-40B4-BE49-F238E27FC236}">
                <a16:creationId xmlns:a16="http://schemas.microsoft.com/office/drawing/2014/main" id="{C1118543-8E6E-FCB5-41A8-4098C218D6AA}"/>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4" name="TextBox 93">
            <a:hlinkClick xmlns:r="http://schemas.openxmlformats.org/officeDocument/2006/relationships" r:id="rId18"/>
            <a:extLst>
              <a:ext uri="{FF2B5EF4-FFF2-40B4-BE49-F238E27FC236}">
                <a16:creationId xmlns:a16="http://schemas.microsoft.com/office/drawing/2014/main" id="{DE489909-477F-91EC-0D24-B71ED08F418D}"/>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5" name="Oval 94">
            <a:extLst>
              <a:ext uri="{FF2B5EF4-FFF2-40B4-BE49-F238E27FC236}">
                <a16:creationId xmlns:a16="http://schemas.microsoft.com/office/drawing/2014/main" id="{1912FAF0-FA48-42EE-48FB-F9F39DD5F78A}"/>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6" name="TextBox 95">
            <a:hlinkClick xmlns:r="http://schemas.openxmlformats.org/officeDocument/2006/relationships" r:id="rId18"/>
            <a:extLst>
              <a:ext uri="{FF2B5EF4-FFF2-40B4-BE49-F238E27FC236}">
                <a16:creationId xmlns:a16="http://schemas.microsoft.com/office/drawing/2014/main" id="{4D8B748D-0893-E48F-F4CD-A5E6B82E0C24}"/>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23</xdr:row>
      <xdr:rowOff>85525</xdr:rowOff>
    </xdr:from>
    <xdr:to>
      <xdr:col>0</xdr:col>
      <xdr:colOff>1708011</xdr:colOff>
      <xdr:row>25</xdr:row>
      <xdr:rowOff>173510</xdr:rowOff>
    </xdr:to>
    <xdr:grpSp>
      <xdr:nvGrpSpPr>
        <xdr:cNvPr id="17" name="Group 16">
          <a:extLst>
            <a:ext uri="{FF2B5EF4-FFF2-40B4-BE49-F238E27FC236}">
              <a16:creationId xmlns:a16="http://schemas.microsoft.com/office/drawing/2014/main" id="{AB786095-A359-2AE8-D8C9-291FC4592137}"/>
            </a:ext>
          </a:extLst>
        </xdr:cNvPr>
        <xdr:cNvGrpSpPr/>
      </xdr:nvGrpSpPr>
      <xdr:grpSpPr>
        <a:xfrm>
          <a:off x="842" y="6523873"/>
          <a:ext cx="1707169" cy="452420"/>
          <a:chOff x="876" y="6443539"/>
          <a:chExt cx="1725184" cy="456924"/>
        </a:xfrm>
      </xdr:grpSpPr>
      <xdr:sp macro="" textlink="">
        <xdr:nvSpPr>
          <xdr:cNvPr id="89" name="Rectangle: Rounded Corners 88">
            <a:extLst>
              <a:ext uri="{FF2B5EF4-FFF2-40B4-BE49-F238E27FC236}">
                <a16:creationId xmlns:a16="http://schemas.microsoft.com/office/drawing/2014/main" id="{9E882428-D1A2-7622-B8ED-B9DBEA0899BF}"/>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0" name="TextBox 89">
            <a:hlinkClick xmlns:r="http://schemas.openxmlformats.org/officeDocument/2006/relationships" r:id="rId19"/>
            <a:extLst>
              <a:ext uri="{FF2B5EF4-FFF2-40B4-BE49-F238E27FC236}">
                <a16:creationId xmlns:a16="http://schemas.microsoft.com/office/drawing/2014/main" id="{91A79E97-075D-E093-F1C7-076BEA9996B1}"/>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1" name="Oval 90">
            <a:extLst>
              <a:ext uri="{FF2B5EF4-FFF2-40B4-BE49-F238E27FC236}">
                <a16:creationId xmlns:a16="http://schemas.microsoft.com/office/drawing/2014/main" id="{8BA614C9-D820-3241-C2A7-96BB4C096E17}"/>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2" name="TextBox 91">
            <a:hlinkClick xmlns:r="http://schemas.openxmlformats.org/officeDocument/2006/relationships" r:id="rId19"/>
            <a:extLst>
              <a:ext uri="{FF2B5EF4-FFF2-40B4-BE49-F238E27FC236}">
                <a16:creationId xmlns:a16="http://schemas.microsoft.com/office/drawing/2014/main" id="{AA02D526-3D38-96F0-DD84-24E2D22C9A5F}"/>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28</xdr:row>
      <xdr:rowOff>143946</xdr:rowOff>
    </xdr:from>
    <xdr:to>
      <xdr:col>0</xdr:col>
      <xdr:colOff>1708946</xdr:colOff>
      <xdr:row>31</xdr:row>
      <xdr:rowOff>56317</xdr:rowOff>
    </xdr:to>
    <xdr:grpSp>
      <xdr:nvGrpSpPr>
        <xdr:cNvPr id="18" name="Group 17">
          <a:extLst>
            <a:ext uri="{FF2B5EF4-FFF2-40B4-BE49-F238E27FC236}">
              <a16:creationId xmlns:a16="http://schemas.microsoft.com/office/drawing/2014/main" id="{BD59D9BD-B8A8-039D-6187-9AB3848B01BA}"/>
            </a:ext>
          </a:extLst>
        </xdr:cNvPr>
        <xdr:cNvGrpSpPr/>
      </xdr:nvGrpSpPr>
      <xdr:grpSpPr>
        <a:xfrm>
          <a:off x="1777" y="7493381"/>
          <a:ext cx="1707169" cy="459023"/>
          <a:chOff x="1849" y="7421500"/>
          <a:chExt cx="1725184" cy="457832"/>
        </a:xfrm>
      </xdr:grpSpPr>
      <xdr:sp macro="" textlink="">
        <xdr:nvSpPr>
          <xdr:cNvPr id="85" name="Rectangle: Rounded Corners 84">
            <a:extLst>
              <a:ext uri="{FF2B5EF4-FFF2-40B4-BE49-F238E27FC236}">
                <a16:creationId xmlns:a16="http://schemas.microsoft.com/office/drawing/2014/main" id="{7676B492-F369-DAE6-E47A-987EDD6CDEBE}"/>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6" name="TextBox 85">
            <a:hlinkClick xmlns:r="http://schemas.openxmlformats.org/officeDocument/2006/relationships" r:id="rId20"/>
            <a:extLst>
              <a:ext uri="{FF2B5EF4-FFF2-40B4-BE49-F238E27FC236}">
                <a16:creationId xmlns:a16="http://schemas.microsoft.com/office/drawing/2014/main" id="{2F133B47-08DD-58EB-114C-398A62E2A281}"/>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7" name="Oval 86">
            <a:extLst>
              <a:ext uri="{FF2B5EF4-FFF2-40B4-BE49-F238E27FC236}">
                <a16:creationId xmlns:a16="http://schemas.microsoft.com/office/drawing/2014/main" id="{3DB3719C-3651-15FC-3CEA-37D3AAFA276A}"/>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8" name="TextBox 87">
            <a:hlinkClick xmlns:r="http://schemas.openxmlformats.org/officeDocument/2006/relationships" r:id="rId20"/>
            <a:extLst>
              <a:ext uri="{FF2B5EF4-FFF2-40B4-BE49-F238E27FC236}">
                <a16:creationId xmlns:a16="http://schemas.microsoft.com/office/drawing/2014/main" id="{80BE8BA4-9AEC-0B77-D1A5-276BDDA23C3F}"/>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31</xdr:row>
      <xdr:rowOff>78359</xdr:rowOff>
    </xdr:from>
    <xdr:to>
      <xdr:col>0</xdr:col>
      <xdr:colOff>1710873</xdr:colOff>
      <xdr:row>34</xdr:row>
      <xdr:rowOff>14492</xdr:rowOff>
    </xdr:to>
    <xdr:grpSp>
      <xdr:nvGrpSpPr>
        <xdr:cNvPr id="19" name="Group 18">
          <a:extLst>
            <a:ext uri="{FF2B5EF4-FFF2-40B4-BE49-F238E27FC236}">
              <a16:creationId xmlns:a16="http://schemas.microsoft.com/office/drawing/2014/main" id="{61B75946-9602-38B3-8A13-56DD051AF0C0}"/>
            </a:ext>
          </a:extLst>
        </xdr:cNvPr>
        <xdr:cNvGrpSpPr/>
      </xdr:nvGrpSpPr>
      <xdr:grpSpPr>
        <a:xfrm>
          <a:off x="3704" y="7974446"/>
          <a:ext cx="1707169" cy="482785"/>
          <a:chOff x="3854" y="7898602"/>
          <a:chExt cx="1725184" cy="486825"/>
        </a:xfrm>
      </xdr:grpSpPr>
      <xdr:sp macro="" textlink="">
        <xdr:nvSpPr>
          <xdr:cNvPr id="81" name="Rectangle: Rounded Corners 80">
            <a:extLst>
              <a:ext uri="{FF2B5EF4-FFF2-40B4-BE49-F238E27FC236}">
                <a16:creationId xmlns:a16="http://schemas.microsoft.com/office/drawing/2014/main" id="{45BF3926-3B58-0C33-3DBD-2BB4C30988B0}"/>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2" name="TextBox 81">
            <a:hlinkClick xmlns:r="http://schemas.openxmlformats.org/officeDocument/2006/relationships" r:id="rId21"/>
            <a:extLst>
              <a:ext uri="{FF2B5EF4-FFF2-40B4-BE49-F238E27FC236}">
                <a16:creationId xmlns:a16="http://schemas.microsoft.com/office/drawing/2014/main" id="{2D361843-991A-9515-78CF-A96A9D593383}"/>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3" name="Oval 82">
            <a:extLst>
              <a:ext uri="{FF2B5EF4-FFF2-40B4-BE49-F238E27FC236}">
                <a16:creationId xmlns:a16="http://schemas.microsoft.com/office/drawing/2014/main" id="{037B2A7B-70DD-47CA-D5BE-8178FD233A79}"/>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4" name="TextBox 83">
            <a:hlinkClick xmlns:r="http://schemas.openxmlformats.org/officeDocument/2006/relationships" r:id="rId21"/>
            <a:extLst>
              <a:ext uri="{FF2B5EF4-FFF2-40B4-BE49-F238E27FC236}">
                <a16:creationId xmlns:a16="http://schemas.microsoft.com/office/drawing/2014/main" id="{8BCB3DF3-4F86-63AB-F105-2A07CBD50DBD}"/>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34</xdr:row>
      <xdr:rowOff>39181</xdr:rowOff>
    </xdr:from>
    <xdr:to>
      <xdr:col>0</xdr:col>
      <xdr:colOff>1712157</xdr:colOff>
      <xdr:row>36</xdr:row>
      <xdr:rowOff>126738</xdr:rowOff>
    </xdr:to>
    <xdr:grpSp>
      <xdr:nvGrpSpPr>
        <xdr:cNvPr id="20" name="Group 19">
          <a:extLst>
            <a:ext uri="{FF2B5EF4-FFF2-40B4-BE49-F238E27FC236}">
              <a16:creationId xmlns:a16="http://schemas.microsoft.com/office/drawing/2014/main" id="{6D7AEE37-B957-6D8D-E1C8-1A4486D055C6}"/>
            </a:ext>
          </a:extLst>
        </xdr:cNvPr>
        <xdr:cNvGrpSpPr/>
      </xdr:nvGrpSpPr>
      <xdr:grpSpPr>
        <a:xfrm>
          <a:off x="4988" y="8481920"/>
          <a:ext cx="1707169" cy="451992"/>
          <a:chOff x="5190" y="8408439"/>
          <a:chExt cx="1725184" cy="455434"/>
        </a:xfrm>
      </xdr:grpSpPr>
      <xdr:sp macro="" textlink="">
        <xdr:nvSpPr>
          <xdr:cNvPr id="77" name="Rectangle: Rounded Corners 76">
            <a:extLst>
              <a:ext uri="{FF2B5EF4-FFF2-40B4-BE49-F238E27FC236}">
                <a16:creationId xmlns:a16="http://schemas.microsoft.com/office/drawing/2014/main" id="{98879A9D-3CC4-5A13-2D8B-655EBC5D30E9}"/>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8" name="TextBox 77">
            <a:hlinkClick xmlns:r="http://schemas.openxmlformats.org/officeDocument/2006/relationships" r:id="rId22"/>
            <a:extLst>
              <a:ext uri="{FF2B5EF4-FFF2-40B4-BE49-F238E27FC236}">
                <a16:creationId xmlns:a16="http://schemas.microsoft.com/office/drawing/2014/main" id="{BDD1F39E-A54F-B4DA-C6A4-E0DEDC0DA9EE}"/>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9" name="Oval 78">
            <a:extLst>
              <a:ext uri="{FF2B5EF4-FFF2-40B4-BE49-F238E27FC236}">
                <a16:creationId xmlns:a16="http://schemas.microsoft.com/office/drawing/2014/main" id="{91F54F12-C602-17F6-59A5-670F7F12E43C}"/>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0" name="TextBox 79">
            <a:hlinkClick xmlns:r="http://schemas.openxmlformats.org/officeDocument/2006/relationships" r:id="rId22"/>
            <a:extLst>
              <a:ext uri="{FF2B5EF4-FFF2-40B4-BE49-F238E27FC236}">
                <a16:creationId xmlns:a16="http://schemas.microsoft.com/office/drawing/2014/main" id="{90E1BF67-0FA0-34C4-F27D-F5536B33A42D}"/>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36</xdr:row>
      <xdr:rowOff>139836</xdr:rowOff>
    </xdr:from>
    <xdr:to>
      <xdr:col>0</xdr:col>
      <xdr:colOff>1713207</xdr:colOff>
      <xdr:row>39</xdr:row>
      <xdr:rowOff>69217</xdr:rowOff>
    </xdr:to>
    <xdr:grpSp>
      <xdr:nvGrpSpPr>
        <xdr:cNvPr id="21" name="Group 20">
          <a:extLst>
            <a:ext uri="{FF2B5EF4-FFF2-40B4-BE49-F238E27FC236}">
              <a16:creationId xmlns:a16="http://schemas.microsoft.com/office/drawing/2014/main" id="{071729D2-900B-DAF4-4BB3-269870538170}"/>
            </a:ext>
          </a:extLst>
        </xdr:cNvPr>
        <xdr:cNvGrpSpPr/>
      </xdr:nvGrpSpPr>
      <xdr:grpSpPr>
        <a:xfrm>
          <a:off x="6038" y="8947010"/>
          <a:ext cx="1707169" cy="476033"/>
          <a:chOff x="6283" y="8882925"/>
          <a:chExt cx="1725184" cy="479438"/>
        </a:xfrm>
      </xdr:grpSpPr>
      <xdr:sp macro="" textlink="">
        <xdr:nvSpPr>
          <xdr:cNvPr id="73" name="Rectangle: Rounded Corners 72">
            <a:extLst>
              <a:ext uri="{FF2B5EF4-FFF2-40B4-BE49-F238E27FC236}">
                <a16:creationId xmlns:a16="http://schemas.microsoft.com/office/drawing/2014/main" id="{C6C2120D-EC1C-8D97-0F8B-12B69EDFB849}"/>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4" name="TextBox 73">
            <a:hlinkClick xmlns:r="http://schemas.openxmlformats.org/officeDocument/2006/relationships" r:id="rId23"/>
            <a:extLst>
              <a:ext uri="{FF2B5EF4-FFF2-40B4-BE49-F238E27FC236}">
                <a16:creationId xmlns:a16="http://schemas.microsoft.com/office/drawing/2014/main" id="{879EACBC-30BF-51CD-8909-CFF22E30300E}"/>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5" name="Oval 74">
            <a:extLst>
              <a:ext uri="{FF2B5EF4-FFF2-40B4-BE49-F238E27FC236}">
                <a16:creationId xmlns:a16="http://schemas.microsoft.com/office/drawing/2014/main" id="{8C282FE5-2F4D-5060-2553-DC3705E377C3}"/>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6" name="TextBox 75">
            <a:hlinkClick xmlns:r="http://schemas.openxmlformats.org/officeDocument/2006/relationships" r:id="rId23"/>
            <a:extLst>
              <a:ext uri="{FF2B5EF4-FFF2-40B4-BE49-F238E27FC236}">
                <a16:creationId xmlns:a16="http://schemas.microsoft.com/office/drawing/2014/main" id="{11FE4A7D-1E4C-91EF-E192-8DF924A0A9FE}"/>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42</xdr:row>
      <xdr:rowOff>43003</xdr:rowOff>
    </xdr:from>
    <xdr:to>
      <xdr:col>0</xdr:col>
      <xdr:colOff>1711774</xdr:colOff>
      <xdr:row>44</xdr:row>
      <xdr:rowOff>134433</xdr:rowOff>
    </xdr:to>
    <xdr:grpSp>
      <xdr:nvGrpSpPr>
        <xdr:cNvPr id="22" name="Group 21">
          <a:extLst>
            <a:ext uri="{FF2B5EF4-FFF2-40B4-BE49-F238E27FC236}">
              <a16:creationId xmlns:a16="http://schemas.microsoft.com/office/drawing/2014/main" id="{BFC4FB59-52E7-27BE-365E-697DB04C5563}"/>
            </a:ext>
          </a:extLst>
        </xdr:cNvPr>
        <xdr:cNvGrpSpPr/>
      </xdr:nvGrpSpPr>
      <xdr:grpSpPr>
        <a:xfrm>
          <a:off x="4605" y="9943481"/>
          <a:ext cx="1707169" cy="455865"/>
          <a:chOff x="4792" y="9884285"/>
          <a:chExt cx="1725184" cy="459044"/>
        </a:xfrm>
      </xdr:grpSpPr>
      <xdr:sp macro="" textlink="">
        <xdr:nvSpPr>
          <xdr:cNvPr id="69" name="Rectangle: Rounded Corners 68">
            <a:extLst>
              <a:ext uri="{FF2B5EF4-FFF2-40B4-BE49-F238E27FC236}">
                <a16:creationId xmlns:a16="http://schemas.microsoft.com/office/drawing/2014/main" id="{063CAE96-3151-AEEB-7397-6D0B5A6D7031}"/>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0" name="TextBox 69">
            <a:hlinkClick xmlns:r="http://schemas.openxmlformats.org/officeDocument/2006/relationships" r:id="rId24"/>
            <a:extLst>
              <a:ext uri="{FF2B5EF4-FFF2-40B4-BE49-F238E27FC236}">
                <a16:creationId xmlns:a16="http://schemas.microsoft.com/office/drawing/2014/main" id="{A11619A1-0704-B6A7-FE2E-D3192AB68C1D}"/>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1" name="Oval 70">
            <a:extLst>
              <a:ext uri="{FF2B5EF4-FFF2-40B4-BE49-F238E27FC236}">
                <a16:creationId xmlns:a16="http://schemas.microsoft.com/office/drawing/2014/main" id="{3CA0EECB-DE91-95D6-C618-63EE5A2454FD}"/>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2" name="TextBox 71">
            <a:hlinkClick xmlns:r="http://schemas.openxmlformats.org/officeDocument/2006/relationships" r:id="rId24"/>
            <a:extLst>
              <a:ext uri="{FF2B5EF4-FFF2-40B4-BE49-F238E27FC236}">
                <a16:creationId xmlns:a16="http://schemas.microsoft.com/office/drawing/2014/main" id="{44E53549-C79F-7D35-540F-A8762DAA9048}"/>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39</xdr:row>
      <xdr:rowOff>87635</xdr:rowOff>
    </xdr:from>
    <xdr:to>
      <xdr:col>0</xdr:col>
      <xdr:colOff>1712537</xdr:colOff>
      <xdr:row>42</xdr:row>
      <xdr:rowOff>18136</xdr:rowOff>
    </xdr:to>
    <xdr:grpSp>
      <xdr:nvGrpSpPr>
        <xdr:cNvPr id="23" name="Group 22">
          <a:extLst>
            <a:ext uri="{FF2B5EF4-FFF2-40B4-BE49-F238E27FC236}">
              <a16:creationId xmlns:a16="http://schemas.microsoft.com/office/drawing/2014/main" id="{3781A89F-12D5-0FB4-6564-FA69090416E9}"/>
            </a:ext>
          </a:extLst>
        </xdr:cNvPr>
        <xdr:cNvGrpSpPr/>
      </xdr:nvGrpSpPr>
      <xdr:grpSpPr>
        <a:xfrm>
          <a:off x="5368" y="9441461"/>
          <a:ext cx="1707169" cy="477153"/>
          <a:chOff x="5586" y="9379532"/>
          <a:chExt cx="1725184" cy="481576"/>
        </a:xfrm>
      </xdr:grpSpPr>
      <xdr:sp macro="" textlink="">
        <xdr:nvSpPr>
          <xdr:cNvPr id="65" name="Rectangle: Rounded Corners 64">
            <a:extLst>
              <a:ext uri="{FF2B5EF4-FFF2-40B4-BE49-F238E27FC236}">
                <a16:creationId xmlns:a16="http://schemas.microsoft.com/office/drawing/2014/main" id="{F2F8356E-03C5-5017-7C9D-063D1CABB08B}"/>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6" name="TextBox 65">
            <a:hlinkClick xmlns:r="http://schemas.openxmlformats.org/officeDocument/2006/relationships" r:id="rId25"/>
            <a:extLst>
              <a:ext uri="{FF2B5EF4-FFF2-40B4-BE49-F238E27FC236}">
                <a16:creationId xmlns:a16="http://schemas.microsoft.com/office/drawing/2014/main" id="{4B375F35-AB19-3210-263E-B4A0DF1D5435}"/>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7" name="Oval 66">
            <a:extLst>
              <a:ext uri="{FF2B5EF4-FFF2-40B4-BE49-F238E27FC236}">
                <a16:creationId xmlns:a16="http://schemas.microsoft.com/office/drawing/2014/main" id="{5507659E-26F5-6A32-0606-5DA863F483E9}"/>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8" name="TextBox 67">
            <a:hlinkClick xmlns:r="http://schemas.openxmlformats.org/officeDocument/2006/relationships" r:id="rId25"/>
            <a:extLst>
              <a:ext uri="{FF2B5EF4-FFF2-40B4-BE49-F238E27FC236}">
                <a16:creationId xmlns:a16="http://schemas.microsoft.com/office/drawing/2014/main" id="{2482BE82-FF4A-0156-BEBE-0B3276EBCD4F}"/>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44</xdr:row>
      <xdr:rowOff>143035</xdr:rowOff>
    </xdr:from>
    <xdr:to>
      <xdr:col>0</xdr:col>
      <xdr:colOff>1711005</xdr:colOff>
      <xdr:row>47</xdr:row>
      <xdr:rowOff>79962</xdr:rowOff>
    </xdr:to>
    <xdr:grpSp>
      <xdr:nvGrpSpPr>
        <xdr:cNvPr id="24" name="Group 23">
          <a:extLst>
            <a:ext uri="{FF2B5EF4-FFF2-40B4-BE49-F238E27FC236}">
              <a16:creationId xmlns:a16="http://schemas.microsoft.com/office/drawing/2014/main" id="{5860FB89-72ED-6D45-9551-ACBB3E860270}"/>
            </a:ext>
          </a:extLst>
        </xdr:cNvPr>
        <xdr:cNvGrpSpPr/>
      </xdr:nvGrpSpPr>
      <xdr:grpSpPr>
        <a:xfrm>
          <a:off x="3836" y="10407948"/>
          <a:ext cx="1707169" cy="483579"/>
          <a:chOff x="3992" y="10358190"/>
          <a:chExt cx="1725184" cy="486476"/>
        </a:xfrm>
      </xdr:grpSpPr>
      <xdr:sp macro="" textlink="">
        <xdr:nvSpPr>
          <xdr:cNvPr id="61" name="Rectangle: Rounded Corners 60">
            <a:extLst>
              <a:ext uri="{FF2B5EF4-FFF2-40B4-BE49-F238E27FC236}">
                <a16:creationId xmlns:a16="http://schemas.microsoft.com/office/drawing/2014/main" id="{063245CC-8E0D-990D-49EB-132F632CA830}"/>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2" name="TextBox 61">
            <a:hlinkClick xmlns:r="http://schemas.openxmlformats.org/officeDocument/2006/relationships" r:id="rId26"/>
            <a:extLst>
              <a:ext uri="{FF2B5EF4-FFF2-40B4-BE49-F238E27FC236}">
                <a16:creationId xmlns:a16="http://schemas.microsoft.com/office/drawing/2014/main" id="{08EABD76-FE4F-B3A3-174D-18465326C001}"/>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3" name="Oval 62">
            <a:extLst>
              <a:ext uri="{FF2B5EF4-FFF2-40B4-BE49-F238E27FC236}">
                <a16:creationId xmlns:a16="http://schemas.microsoft.com/office/drawing/2014/main" id="{9291969F-C840-AF83-F038-E3016101CAA6}"/>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4" name="TextBox 63">
            <a:hlinkClick xmlns:r="http://schemas.openxmlformats.org/officeDocument/2006/relationships" r:id="rId26"/>
            <a:extLst>
              <a:ext uri="{FF2B5EF4-FFF2-40B4-BE49-F238E27FC236}">
                <a16:creationId xmlns:a16="http://schemas.microsoft.com/office/drawing/2014/main" id="{B54D7354-03BA-EE8A-8404-160728A04ACF}"/>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5499</xdr:colOff>
      <xdr:row>47</xdr:row>
      <xdr:rowOff>97698</xdr:rowOff>
    </xdr:from>
    <xdr:to>
      <xdr:col>0</xdr:col>
      <xdr:colOff>1712668</xdr:colOff>
      <xdr:row>50</xdr:row>
      <xdr:rowOff>169</xdr:rowOff>
    </xdr:to>
    <xdr:grpSp>
      <xdr:nvGrpSpPr>
        <xdr:cNvPr id="26" name="Group 25">
          <a:extLst>
            <a:ext uri="{FF2B5EF4-FFF2-40B4-BE49-F238E27FC236}">
              <a16:creationId xmlns:a16="http://schemas.microsoft.com/office/drawing/2014/main" id="{8B395173-2538-6CF8-2D7E-A991E1449819}"/>
            </a:ext>
          </a:extLst>
        </xdr:cNvPr>
        <xdr:cNvGrpSpPr/>
      </xdr:nvGrpSpPr>
      <xdr:grpSpPr>
        <a:xfrm>
          <a:off x="5499" y="10909263"/>
          <a:ext cx="1707169" cy="449123"/>
          <a:chOff x="5723" y="10874564"/>
          <a:chExt cx="1725184" cy="455447"/>
        </a:xfrm>
      </xdr:grpSpPr>
      <xdr:sp macro="" textlink="">
        <xdr:nvSpPr>
          <xdr:cNvPr id="53" name="Rectangle: Rounded Corners 52">
            <a:extLst>
              <a:ext uri="{FF2B5EF4-FFF2-40B4-BE49-F238E27FC236}">
                <a16:creationId xmlns:a16="http://schemas.microsoft.com/office/drawing/2014/main" id="{873E59E9-BCAC-AE58-DD52-5E3BBF89278A}"/>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4" name="TextBox 53">
            <a:hlinkClick xmlns:r="http://schemas.openxmlformats.org/officeDocument/2006/relationships" r:id="rId27"/>
            <a:extLst>
              <a:ext uri="{FF2B5EF4-FFF2-40B4-BE49-F238E27FC236}">
                <a16:creationId xmlns:a16="http://schemas.microsoft.com/office/drawing/2014/main" id="{11ADDC92-FF02-110B-5630-2BA7E9472CD2}"/>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5" name="Oval 54">
            <a:extLst>
              <a:ext uri="{FF2B5EF4-FFF2-40B4-BE49-F238E27FC236}">
                <a16:creationId xmlns:a16="http://schemas.microsoft.com/office/drawing/2014/main" id="{F45472AA-F762-9DE0-CFA4-8EFAC446AF30}"/>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6" name="TextBox 55">
            <a:hlinkClick xmlns:r="http://schemas.openxmlformats.org/officeDocument/2006/relationships" r:id="rId27"/>
            <a:extLst>
              <a:ext uri="{FF2B5EF4-FFF2-40B4-BE49-F238E27FC236}">
                <a16:creationId xmlns:a16="http://schemas.microsoft.com/office/drawing/2014/main" id="{BDEB83DA-56F8-4ABF-1EE0-31AD84ACB3CE}"/>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50</xdr:row>
      <xdr:rowOff>19463</xdr:rowOff>
    </xdr:from>
    <xdr:to>
      <xdr:col>0</xdr:col>
      <xdr:colOff>1711471</xdr:colOff>
      <xdr:row>52</xdr:row>
      <xdr:rowOff>133387</xdr:rowOff>
    </xdr:to>
    <xdr:grpSp>
      <xdr:nvGrpSpPr>
        <xdr:cNvPr id="27" name="Group 26">
          <a:extLst>
            <a:ext uri="{FF2B5EF4-FFF2-40B4-BE49-F238E27FC236}">
              <a16:creationId xmlns:a16="http://schemas.microsoft.com/office/drawing/2014/main" id="{56A60AF8-2103-282B-1472-3AB893C0D863}"/>
            </a:ext>
          </a:extLst>
        </xdr:cNvPr>
        <xdr:cNvGrpSpPr/>
      </xdr:nvGrpSpPr>
      <xdr:grpSpPr>
        <a:xfrm>
          <a:off x="4302" y="11377680"/>
          <a:ext cx="1707169" cy="478359"/>
          <a:chOff x="4477" y="11347997"/>
          <a:chExt cx="1725184" cy="480012"/>
        </a:xfrm>
      </xdr:grpSpPr>
      <xdr:sp macro="" textlink="">
        <xdr:nvSpPr>
          <xdr:cNvPr id="49" name="Rectangle: Rounded Corners 48">
            <a:extLst>
              <a:ext uri="{FF2B5EF4-FFF2-40B4-BE49-F238E27FC236}">
                <a16:creationId xmlns:a16="http://schemas.microsoft.com/office/drawing/2014/main" id="{7607B7C6-EB26-98C9-4CF6-7C5DBAE6C8A4}"/>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0" name="TextBox 49">
            <a:hlinkClick xmlns:r="http://schemas.openxmlformats.org/officeDocument/2006/relationships" r:id="rId28"/>
            <a:extLst>
              <a:ext uri="{FF2B5EF4-FFF2-40B4-BE49-F238E27FC236}">
                <a16:creationId xmlns:a16="http://schemas.microsoft.com/office/drawing/2014/main" id="{FDE0627E-0C05-599C-EE02-1860793ABCB6}"/>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1" name="Oval 50">
            <a:extLst>
              <a:ext uri="{FF2B5EF4-FFF2-40B4-BE49-F238E27FC236}">
                <a16:creationId xmlns:a16="http://schemas.microsoft.com/office/drawing/2014/main" id="{6110089B-A2FD-5268-2D98-BAC0C581F7C5}"/>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2" name="TextBox 51">
            <a:hlinkClick xmlns:r="http://schemas.openxmlformats.org/officeDocument/2006/relationships" r:id="rId28"/>
            <a:extLst>
              <a:ext uri="{FF2B5EF4-FFF2-40B4-BE49-F238E27FC236}">
                <a16:creationId xmlns:a16="http://schemas.microsoft.com/office/drawing/2014/main" id="{6CD5DC22-DB48-CD1A-2F81-8572495EB993}"/>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26</xdr:row>
      <xdr:rowOff>9108</xdr:rowOff>
    </xdr:from>
    <xdr:to>
      <xdr:col>0</xdr:col>
      <xdr:colOff>1707169</xdr:colOff>
      <xdr:row>28</xdr:row>
      <xdr:rowOff>119900</xdr:rowOff>
    </xdr:to>
    <xdr:grpSp>
      <xdr:nvGrpSpPr>
        <xdr:cNvPr id="28" name="Group 27">
          <a:extLst>
            <a:ext uri="{FF2B5EF4-FFF2-40B4-BE49-F238E27FC236}">
              <a16:creationId xmlns:a16="http://schemas.microsoft.com/office/drawing/2014/main" id="{7F9FC8F1-AA55-44BC-A9AB-3324928FC394}"/>
            </a:ext>
          </a:extLst>
        </xdr:cNvPr>
        <xdr:cNvGrpSpPr/>
      </xdr:nvGrpSpPr>
      <xdr:grpSpPr>
        <a:xfrm>
          <a:off x="0" y="6994108"/>
          <a:ext cx="1707169" cy="475227"/>
          <a:chOff x="0" y="6922179"/>
          <a:chExt cx="1725184" cy="482848"/>
        </a:xfrm>
      </xdr:grpSpPr>
      <xdr:sp macro="" textlink="">
        <xdr:nvSpPr>
          <xdr:cNvPr id="45" name="Rectangle: Rounded Corners 44">
            <a:extLst>
              <a:ext uri="{FF2B5EF4-FFF2-40B4-BE49-F238E27FC236}">
                <a16:creationId xmlns:a16="http://schemas.microsoft.com/office/drawing/2014/main" id="{53DE0D0E-4450-5F67-AB7E-0C9BB246F5C7}"/>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6" name="TextBox 45">
            <a:hlinkClick xmlns:r="http://schemas.openxmlformats.org/officeDocument/2006/relationships" r:id="rId19"/>
            <a:extLst>
              <a:ext uri="{FF2B5EF4-FFF2-40B4-BE49-F238E27FC236}">
                <a16:creationId xmlns:a16="http://schemas.microsoft.com/office/drawing/2014/main" id="{1348C983-0FDB-A28F-CE77-0E800D4F1172}"/>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7" name="Oval 46">
            <a:extLst>
              <a:ext uri="{FF2B5EF4-FFF2-40B4-BE49-F238E27FC236}">
                <a16:creationId xmlns:a16="http://schemas.microsoft.com/office/drawing/2014/main" id="{FB8520CE-C3AB-B9D6-8B83-98F3296EB54F}"/>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8" name="TextBox 47">
            <a:hlinkClick xmlns:r="http://schemas.openxmlformats.org/officeDocument/2006/relationships" r:id="rId29"/>
            <a:extLst>
              <a:ext uri="{FF2B5EF4-FFF2-40B4-BE49-F238E27FC236}">
                <a16:creationId xmlns:a16="http://schemas.microsoft.com/office/drawing/2014/main" id="{3313B432-0922-1A6C-A58A-FCA5E6D63B9C}"/>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5742</xdr:colOff>
      <xdr:row>52</xdr:row>
      <xdr:rowOff>146237</xdr:rowOff>
    </xdr:from>
    <xdr:to>
      <xdr:col>0</xdr:col>
      <xdr:colOff>1711953</xdr:colOff>
      <xdr:row>55</xdr:row>
      <xdr:rowOff>76231</xdr:rowOff>
    </xdr:to>
    <xdr:grpSp>
      <xdr:nvGrpSpPr>
        <xdr:cNvPr id="31" name="Group 30">
          <a:extLst>
            <a:ext uri="{FF2B5EF4-FFF2-40B4-BE49-F238E27FC236}">
              <a16:creationId xmlns:a16="http://schemas.microsoft.com/office/drawing/2014/main" id="{2D3B15B6-34DE-C6BD-4E13-4A4644F16461}"/>
            </a:ext>
          </a:extLst>
        </xdr:cNvPr>
        <xdr:cNvGrpSpPr/>
      </xdr:nvGrpSpPr>
      <xdr:grpSpPr>
        <a:xfrm>
          <a:off x="5742" y="11868889"/>
          <a:ext cx="1706211" cy="476646"/>
          <a:chOff x="4477" y="11347997"/>
          <a:chExt cx="1725184" cy="480012"/>
        </a:xfrm>
      </xdr:grpSpPr>
      <xdr:sp macro="" textlink="">
        <xdr:nvSpPr>
          <xdr:cNvPr id="37" name="Rectangle: Rounded Corners 36">
            <a:extLst>
              <a:ext uri="{FF2B5EF4-FFF2-40B4-BE49-F238E27FC236}">
                <a16:creationId xmlns:a16="http://schemas.microsoft.com/office/drawing/2014/main" id="{A196EC82-1184-C732-A75D-BFDB44F31905}"/>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8" name="TextBox 37">
            <a:hlinkClick xmlns:r="http://schemas.openxmlformats.org/officeDocument/2006/relationships" r:id="rId30"/>
            <a:extLst>
              <a:ext uri="{FF2B5EF4-FFF2-40B4-BE49-F238E27FC236}">
                <a16:creationId xmlns:a16="http://schemas.microsoft.com/office/drawing/2014/main" id="{C678436F-1411-9DA0-9E95-2E4C110702BA}"/>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9" name="Oval 38">
            <a:extLst>
              <a:ext uri="{FF2B5EF4-FFF2-40B4-BE49-F238E27FC236}">
                <a16:creationId xmlns:a16="http://schemas.microsoft.com/office/drawing/2014/main" id="{77BB50EA-D360-B0B7-3B70-EFFA87602ED6}"/>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0" name="TextBox 39">
            <a:hlinkClick xmlns:r="http://schemas.openxmlformats.org/officeDocument/2006/relationships" r:id="rId30"/>
            <a:extLst>
              <a:ext uri="{FF2B5EF4-FFF2-40B4-BE49-F238E27FC236}">
                <a16:creationId xmlns:a16="http://schemas.microsoft.com/office/drawing/2014/main" id="{82295BB9-F9AE-D5E2-F49D-BC069257ED65}"/>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0</xdr:col>
      <xdr:colOff>0</xdr:colOff>
      <xdr:row>55</xdr:row>
      <xdr:rowOff>88768</xdr:rowOff>
    </xdr:from>
    <xdr:to>
      <xdr:col>0</xdr:col>
      <xdr:colOff>1713549</xdr:colOff>
      <xdr:row>67</xdr:row>
      <xdr:rowOff>107703</xdr:rowOff>
    </xdr:to>
    <xdr:grpSp>
      <xdr:nvGrpSpPr>
        <xdr:cNvPr id="184" name="Group 183">
          <a:extLst>
            <a:ext uri="{FF2B5EF4-FFF2-40B4-BE49-F238E27FC236}">
              <a16:creationId xmlns:a16="http://schemas.microsoft.com/office/drawing/2014/main" id="{7579D7C3-0CCF-4F55-373E-EC2D566BD431}"/>
            </a:ext>
          </a:extLst>
        </xdr:cNvPr>
        <xdr:cNvGrpSpPr/>
      </xdr:nvGrpSpPr>
      <xdr:grpSpPr>
        <a:xfrm>
          <a:off x="0" y="12358072"/>
          <a:ext cx="1713549" cy="2205544"/>
          <a:chOff x="5137727" y="13144500"/>
          <a:chExt cx="1713549" cy="2252946"/>
        </a:xfrm>
      </xdr:grpSpPr>
      <xdr:grpSp>
        <xdr:nvGrpSpPr>
          <xdr:cNvPr id="163" name="Group 162">
            <a:extLst>
              <a:ext uri="{FF2B5EF4-FFF2-40B4-BE49-F238E27FC236}">
                <a16:creationId xmlns:a16="http://schemas.microsoft.com/office/drawing/2014/main" id="{24FBEE4C-0677-4E97-ADBF-A599C746CD52}"/>
              </a:ext>
            </a:extLst>
          </xdr:cNvPr>
          <xdr:cNvGrpSpPr/>
        </xdr:nvGrpSpPr>
        <xdr:grpSpPr>
          <a:xfrm>
            <a:off x="5144107" y="13624532"/>
            <a:ext cx="1707169" cy="465099"/>
            <a:chOff x="3415" y="11846315"/>
            <a:chExt cx="1725184" cy="456487"/>
          </a:xfrm>
        </xdr:grpSpPr>
        <xdr:sp macro="" textlink="">
          <xdr:nvSpPr>
            <xdr:cNvPr id="164" name="Rectangle: Rounded Corners 163">
              <a:extLst>
                <a:ext uri="{FF2B5EF4-FFF2-40B4-BE49-F238E27FC236}">
                  <a16:creationId xmlns:a16="http://schemas.microsoft.com/office/drawing/2014/main" id="{D953739B-4370-82E6-FDBB-A8782A1FE66D}"/>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5" name="TextBox 164">
              <a:hlinkClick xmlns:r="http://schemas.openxmlformats.org/officeDocument/2006/relationships" r:id="rId26"/>
              <a:extLst>
                <a:ext uri="{FF2B5EF4-FFF2-40B4-BE49-F238E27FC236}">
                  <a16:creationId xmlns:a16="http://schemas.microsoft.com/office/drawing/2014/main" id="{B395E795-01FF-6D0E-3BAB-E7F32893D937}"/>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66" name="Oval 165">
              <a:extLst>
                <a:ext uri="{FF2B5EF4-FFF2-40B4-BE49-F238E27FC236}">
                  <a16:creationId xmlns:a16="http://schemas.microsoft.com/office/drawing/2014/main" id="{FE3BCC46-FCD9-9B5E-34A2-81745C947989}"/>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67" name="TextBox 166">
              <a:hlinkClick xmlns:r="http://schemas.openxmlformats.org/officeDocument/2006/relationships" r:id="rId31"/>
              <a:extLst>
                <a:ext uri="{FF2B5EF4-FFF2-40B4-BE49-F238E27FC236}">
                  <a16:creationId xmlns:a16="http://schemas.microsoft.com/office/drawing/2014/main" id="{7ABA288A-1E98-3F6E-B27F-F465D79075D1}"/>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168" name="Group 167">
            <a:extLst>
              <a:ext uri="{FF2B5EF4-FFF2-40B4-BE49-F238E27FC236}">
                <a16:creationId xmlns:a16="http://schemas.microsoft.com/office/drawing/2014/main" id="{F7E5C8C1-9808-4FCA-B54F-67CC0157A378}"/>
              </a:ext>
            </a:extLst>
          </xdr:cNvPr>
          <xdr:cNvGrpSpPr/>
        </xdr:nvGrpSpPr>
        <xdr:grpSpPr>
          <a:xfrm>
            <a:off x="5141639" y="14111307"/>
            <a:ext cx="1707169" cy="494728"/>
            <a:chOff x="847" y="12324893"/>
            <a:chExt cx="1725184" cy="486884"/>
          </a:xfrm>
        </xdr:grpSpPr>
        <xdr:sp macro="" textlink="">
          <xdr:nvSpPr>
            <xdr:cNvPr id="169" name="Rectangle: Rounded Corners 168">
              <a:extLst>
                <a:ext uri="{FF2B5EF4-FFF2-40B4-BE49-F238E27FC236}">
                  <a16:creationId xmlns:a16="http://schemas.microsoft.com/office/drawing/2014/main" id="{E820DDFD-A989-F363-3632-6492127AB422}"/>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0" name="TextBox 169">
              <a:hlinkClick xmlns:r="http://schemas.openxmlformats.org/officeDocument/2006/relationships" r:id="rId32"/>
              <a:extLst>
                <a:ext uri="{FF2B5EF4-FFF2-40B4-BE49-F238E27FC236}">
                  <a16:creationId xmlns:a16="http://schemas.microsoft.com/office/drawing/2014/main" id="{43A4F2BB-AA07-F188-008B-4E0227173A9D}"/>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71" name="Oval 170">
              <a:extLst>
                <a:ext uri="{FF2B5EF4-FFF2-40B4-BE49-F238E27FC236}">
                  <a16:creationId xmlns:a16="http://schemas.microsoft.com/office/drawing/2014/main" id="{1C95FD93-C10C-B8DB-B021-F3B8EE2106D5}"/>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2" name="TextBox 171">
              <a:hlinkClick xmlns:r="http://schemas.openxmlformats.org/officeDocument/2006/relationships" r:id="rId32"/>
              <a:extLst>
                <a:ext uri="{FF2B5EF4-FFF2-40B4-BE49-F238E27FC236}">
                  <a16:creationId xmlns:a16="http://schemas.microsoft.com/office/drawing/2014/main" id="{AFC9ED53-F2B6-C1FC-6D67-6BF14A54C9E3}"/>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173" name="TextBox 172">
            <a:extLst>
              <a:ext uri="{FF2B5EF4-FFF2-40B4-BE49-F238E27FC236}">
                <a16:creationId xmlns:a16="http://schemas.microsoft.com/office/drawing/2014/main" id="{62AB675F-142F-4E3E-A876-385CD54069ED}"/>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174" name="Group 173">
            <a:extLst>
              <a:ext uri="{FF2B5EF4-FFF2-40B4-BE49-F238E27FC236}">
                <a16:creationId xmlns:a16="http://schemas.microsoft.com/office/drawing/2014/main" id="{5C8B8E6A-D3D4-47B7-B592-E8D482B3CD17}"/>
              </a:ext>
            </a:extLst>
          </xdr:cNvPr>
          <xdr:cNvGrpSpPr/>
        </xdr:nvGrpSpPr>
        <xdr:grpSpPr>
          <a:xfrm>
            <a:off x="5138008" y="14617043"/>
            <a:ext cx="1708983" cy="494290"/>
            <a:chOff x="847" y="12324893"/>
            <a:chExt cx="1725184" cy="486884"/>
          </a:xfrm>
        </xdr:grpSpPr>
        <xdr:sp macro="" textlink="">
          <xdr:nvSpPr>
            <xdr:cNvPr id="175" name="Rectangle: Rounded Corners 174">
              <a:extLst>
                <a:ext uri="{FF2B5EF4-FFF2-40B4-BE49-F238E27FC236}">
                  <a16:creationId xmlns:a16="http://schemas.microsoft.com/office/drawing/2014/main" id="{8E692930-12E0-87B8-553A-6C85D8DE6AD6}"/>
                </a:ext>
              </a:extLst>
            </xdr:cNvPr>
            <xdr:cNvSpPr/>
          </xdr:nvSpPr>
          <xdr:spPr>
            <a:xfrm>
              <a:off x="847" y="12331506"/>
              <a:ext cx="1709047" cy="480079"/>
            </a:xfrm>
            <a:prstGeom prst="roundRect">
              <a:avLst>
                <a:gd name="adj" fmla="val 6708"/>
              </a:avLst>
            </a:prstGeom>
            <a:solidFill>
              <a:srgbClr val="6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6" name="TextBox 175">
              <a:hlinkClick xmlns:r="http://schemas.openxmlformats.org/officeDocument/2006/relationships" r:id="rId33"/>
              <a:extLst>
                <a:ext uri="{FF2B5EF4-FFF2-40B4-BE49-F238E27FC236}">
                  <a16:creationId xmlns:a16="http://schemas.microsoft.com/office/drawing/2014/main" id="{B2272C40-075D-0CEA-1AF3-7B9985752249}"/>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177" name="Oval 176">
              <a:extLst>
                <a:ext uri="{FF2B5EF4-FFF2-40B4-BE49-F238E27FC236}">
                  <a16:creationId xmlns:a16="http://schemas.microsoft.com/office/drawing/2014/main" id="{B1A5587E-55AF-A05D-19B1-1DF0E03CA491}"/>
                </a:ext>
              </a:extLst>
            </xdr:cNvPr>
            <xdr:cNvSpPr/>
          </xdr:nvSpPr>
          <xdr:spPr>
            <a:xfrm>
              <a:off x="95433" y="12414753"/>
              <a:ext cx="286142" cy="312732"/>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78" name="TextBox 177">
              <a:hlinkClick xmlns:r="http://schemas.openxmlformats.org/officeDocument/2006/relationships" r:id="rId33"/>
              <a:extLst>
                <a:ext uri="{FF2B5EF4-FFF2-40B4-BE49-F238E27FC236}">
                  <a16:creationId xmlns:a16="http://schemas.microsoft.com/office/drawing/2014/main" id="{820DC663-D7EF-5EBC-C8E5-91B547339324}"/>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chemeClr val="bg1"/>
                  </a:solidFill>
                </a:rPr>
                <a:t>MHA</a:t>
              </a:r>
            </a:p>
          </xdr:txBody>
        </xdr:sp>
      </xdr:grpSp>
      <xdr:grpSp>
        <xdr:nvGrpSpPr>
          <xdr:cNvPr id="179" name="Group 178">
            <a:extLst>
              <a:ext uri="{FF2B5EF4-FFF2-40B4-BE49-F238E27FC236}">
                <a16:creationId xmlns:a16="http://schemas.microsoft.com/office/drawing/2014/main" id="{FC9212ED-92E1-41E0-BE06-97149C7C1B51}"/>
              </a:ext>
            </a:extLst>
          </xdr:cNvPr>
          <xdr:cNvGrpSpPr/>
        </xdr:nvGrpSpPr>
        <xdr:grpSpPr>
          <a:xfrm>
            <a:off x="5137727" y="13144500"/>
            <a:ext cx="1707169" cy="464661"/>
            <a:chOff x="3415" y="11846315"/>
            <a:chExt cx="1725184" cy="456487"/>
          </a:xfrm>
        </xdr:grpSpPr>
        <xdr:sp macro="" textlink="">
          <xdr:nvSpPr>
            <xdr:cNvPr id="180" name="Rectangle: Rounded Corners 179">
              <a:hlinkClick xmlns:r="http://schemas.openxmlformats.org/officeDocument/2006/relationships" r:id="rId34"/>
              <a:extLst>
                <a:ext uri="{FF2B5EF4-FFF2-40B4-BE49-F238E27FC236}">
                  <a16:creationId xmlns:a16="http://schemas.microsoft.com/office/drawing/2014/main" id="{021FB75A-BEC7-00DC-AEEF-8E7B36F86703}"/>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81" name="TextBox 180">
              <a:hlinkClick xmlns:r="http://schemas.openxmlformats.org/officeDocument/2006/relationships" r:id="rId34"/>
              <a:extLst>
                <a:ext uri="{FF2B5EF4-FFF2-40B4-BE49-F238E27FC236}">
                  <a16:creationId xmlns:a16="http://schemas.microsoft.com/office/drawing/2014/main" id="{99CA1F50-70DC-4512-8861-0244A37788E5}"/>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82" name="Oval 181">
              <a:hlinkClick xmlns:r="http://schemas.openxmlformats.org/officeDocument/2006/relationships" r:id="rId34"/>
              <a:extLst>
                <a:ext uri="{FF2B5EF4-FFF2-40B4-BE49-F238E27FC236}">
                  <a16:creationId xmlns:a16="http://schemas.microsoft.com/office/drawing/2014/main" id="{DFC9714D-B28E-9A91-4B75-43587BE5F627}"/>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83" name="TextBox 182">
              <a:hlinkClick xmlns:r="http://schemas.openxmlformats.org/officeDocument/2006/relationships" r:id="rId34"/>
              <a:extLst>
                <a:ext uri="{FF2B5EF4-FFF2-40B4-BE49-F238E27FC236}">
                  <a16:creationId xmlns:a16="http://schemas.microsoft.com/office/drawing/2014/main" id="{672405ED-6182-DD69-D4A9-DB3D7F1322F1}"/>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grpSp>
    <xdr:clientData/>
  </xdr:twoCellAnchor>
</xdr:wsDr>
</file>

<file path=xl/drawings/drawing33.xml><?xml version="1.0" encoding="utf-8"?>
<xdr:wsDr xmlns:xdr="http://schemas.openxmlformats.org/drawingml/2006/spreadsheetDrawing" xmlns:a="http://schemas.openxmlformats.org/drawingml/2006/main">
  <xdr:twoCellAnchor>
    <xdr:from>
      <xdr:col>5</xdr:col>
      <xdr:colOff>0</xdr:colOff>
      <xdr:row>0</xdr:row>
      <xdr:rowOff>0</xdr:rowOff>
    </xdr:from>
    <xdr:to>
      <xdr:col>5</xdr:col>
      <xdr:colOff>609188</xdr:colOff>
      <xdr:row>1</xdr:row>
      <xdr:rowOff>82906</xdr:rowOff>
    </xdr:to>
    <xdr:grpSp>
      <xdr:nvGrpSpPr>
        <xdr:cNvPr id="160" name="Group 159">
          <a:extLst>
            <a:ext uri="{FF2B5EF4-FFF2-40B4-BE49-F238E27FC236}">
              <a16:creationId xmlns:a16="http://schemas.microsoft.com/office/drawing/2014/main" id="{823D064A-5D9F-41B5-8B97-F4D9F0DEA2E1}"/>
            </a:ext>
          </a:extLst>
        </xdr:cNvPr>
        <xdr:cNvGrpSpPr/>
      </xdr:nvGrpSpPr>
      <xdr:grpSpPr>
        <a:xfrm>
          <a:off x="9505950" y="0"/>
          <a:ext cx="609188" cy="286106"/>
          <a:chOff x="7108587" y="129950"/>
          <a:chExt cx="884099" cy="287016"/>
        </a:xfrm>
      </xdr:grpSpPr>
      <xdr:pic>
        <xdr:nvPicPr>
          <xdr:cNvPr id="161" name="Graphic 160" descr="Rewind with solid fill">
            <a:hlinkClick xmlns:r="http://schemas.openxmlformats.org/officeDocument/2006/relationships" r:id="rId1"/>
            <a:extLst>
              <a:ext uri="{FF2B5EF4-FFF2-40B4-BE49-F238E27FC236}">
                <a16:creationId xmlns:a16="http://schemas.microsoft.com/office/drawing/2014/main" id="{86FC94FA-6FE0-FCB0-C70D-966B516CB6B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1"/>
            <a:extLst>
              <a:ext uri="{FF2B5EF4-FFF2-40B4-BE49-F238E27FC236}">
                <a16:creationId xmlns:a16="http://schemas.microsoft.com/office/drawing/2014/main" id="{B4ECBA63-1E50-4FCF-FA6B-AA9EDC655D99}"/>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9525</xdr:colOff>
      <xdr:row>0</xdr:row>
      <xdr:rowOff>152400</xdr:rowOff>
    </xdr:from>
    <xdr:to>
      <xdr:col>0</xdr:col>
      <xdr:colOff>1851301</xdr:colOff>
      <xdr:row>17</xdr:row>
      <xdr:rowOff>692484</xdr:rowOff>
    </xdr:to>
    <xdr:grpSp>
      <xdr:nvGrpSpPr>
        <xdr:cNvPr id="2" name="Group 1">
          <a:extLst>
            <a:ext uri="{FF2B5EF4-FFF2-40B4-BE49-F238E27FC236}">
              <a16:creationId xmlns:a16="http://schemas.microsoft.com/office/drawing/2014/main" id="{D4F13BF6-0E58-44FE-A359-252BF8100097}"/>
            </a:ext>
          </a:extLst>
        </xdr:cNvPr>
        <xdr:cNvGrpSpPr/>
      </xdr:nvGrpSpPr>
      <xdr:grpSpPr>
        <a:xfrm>
          <a:off x="9525" y="152400"/>
          <a:ext cx="1841776" cy="14383084"/>
          <a:chOff x="0" y="0"/>
          <a:chExt cx="1841776" cy="14383084"/>
        </a:xfrm>
      </xdr:grpSpPr>
      <xdr:sp macro="" textlink="">
        <xdr:nvSpPr>
          <xdr:cNvPr id="3" name="Rectangle: Rounded Corners 2">
            <a:extLst>
              <a:ext uri="{FF2B5EF4-FFF2-40B4-BE49-F238E27FC236}">
                <a16:creationId xmlns:a16="http://schemas.microsoft.com/office/drawing/2014/main" id="{4BD298CA-BD7B-5BA8-12DF-56555466094B}"/>
              </a:ext>
            </a:extLst>
          </xdr:cNvPr>
          <xdr:cNvSpPr/>
        </xdr:nvSpPr>
        <xdr:spPr>
          <a:xfrm>
            <a:off x="0" y="0"/>
            <a:ext cx="1841776" cy="14383084"/>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nvGrpSpPr>
          <xdr:cNvPr id="4" name="Group 3">
            <a:extLst>
              <a:ext uri="{FF2B5EF4-FFF2-40B4-BE49-F238E27FC236}">
                <a16:creationId xmlns:a16="http://schemas.microsoft.com/office/drawing/2014/main" id="{F3872F9B-411C-1713-5070-70C95AE19175}"/>
              </a:ext>
            </a:extLst>
          </xdr:cNvPr>
          <xdr:cNvGrpSpPr/>
        </xdr:nvGrpSpPr>
        <xdr:grpSpPr>
          <a:xfrm>
            <a:off x="8181" y="3031877"/>
            <a:ext cx="1704895" cy="458072"/>
            <a:chOff x="8513" y="2976867"/>
            <a:chExt cx="1722818" cy="451725"/>
          </a:xfrm>
        </xdr:grpSpPr>
        <xdr:sp macro="" textlink="">
          <xdr:nvSpPr>
            <xdr:cNvPr id="368" name="Rectangle: Rounded Corners 367">
              <a:extLst>
                <a:ext uri="{FF2B5EF4-FFF2-40B4-BE49-F238E27FC236}">
                  <a16:creationId xmlns:a16="http://schemas.microsoft.com/office/drawing/2014/main" id="{28EB322A-2861-2005-3AC9-12F153B252E6}"/>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69" name="TextBox 368">
              <a:hlinkClick xmlns:r="http://schemas.openxmlformats.org/officeDocument/2006/relationships" r:id="rId4"/>
              <a:extLst>
                <a:ext uri="{FF2B5EF4-FFF2-40B4-BE49-F238E27FC236}">
                  <a16:creationId xmlns:a16="http://schemas.microsoft.com/office/drawing/2014/main" id="{614F20FC-7898-4F92-B3C4-8E32BDF908DC}"/>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370" name="Oval 369">
              <a:extLst>
                <a:ext uri="{FF2B5EF4-FFF2-40B4-BE49-F238E27FC236}">
                  <a16:creationId xmlns:a16="http://schemas.microsoft.com/office/drawing/2014/main" id="{D736016B-096F-F999-B0E9-16A943905602}"/>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71" name="TextBox 370">
              <a:hlinkClick xmlns:r="http://schemas.openxmlformats.org/officeDocument/2006/relationships" r:id="rId5"/>
              <a:extLst>
                <a:ext uri="{FF2B5EF4-FFF2-40B4-BE49-F238E27FC236}">
                  <a16:creationId xmlns:a16="http://schemas.microsoft.com/office/drawing/2014/main" id="{DA44F61B-8260-EF0C-87B8-6CBD5A55D604}"/>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grpSp>
        <xdr:nvGrpSpPr>
          <xdr:cNvPr id="5" name="Group 4">
            <a:extLst>
              <a:ext uri="{FF2B5EF4-FFF2-40B4-BE49-F238E27FC236}">
                <a16:creationId xmlns:a16="http://schemas.microsoft.com/office/drawing/2014/main" id="{BF6F4739-61D8-259A-A95D-7848D084DB55}"/>
              </a:ext>
            </a:extLst>
          </xdr:cNvPr>
          <xdr:cNvGrpSpPr/>
        </xdr:nvGrpSpPr>
        <xdr:grpSpPr>
          <a:xfrm>
            <a:off x="10917" y="0"/>
            <a:ext cx="1707041" cy="3017622"/>
            <a:chOff x="10917" y="0"/>
            <a:chExt cx="1707041" cy="3008551"/>
          </a:xfrm>
        </xdr:grpSpPr>
        <xdr:grpSp>
          <xdr:nvGrpSpPr>
            <xdr:cNvPr id="347" name="Group 346">
              <a:extLst>
                <a:ext uri="{FF2B5EF4-FFF2-40B4-BE49-F238E27FC236}">
                  <a16:creationId xmlns:a16="http://schemas.microsoft.com/office/drawing/2014/main" id="{DE1FF6A8-3A65-7430-5153-E953E17F5C58}"/>
                </a:ext>
              </a:extLst>
            </xdr:cNvPr>
            <xdr:cNvGrpSpPr/>
          </xdr:nvGrpSpPr>
          <xdr:grpSpPr>
            <a:xfrm>
              <a:off x="11239" y="644787"/>
              <a:ext cx="1704895" cy="448184"/>
              <a:chOff x="17891" y="510932"/>
              <a:chExt cx="1724265" cy="444500"/>
            </a:xfrm>
          </xdr:grpSpPr>
          <xdr:sp macro="" textlink="">
            <xdr:nvSpPr>
              <xdr:cNvPr id="365" name="Rectangle: Rounded Corners 364">
                <a:extLst>
                  <a:ext uri="{FF2B5EF4-FFF2-40B4-BE49-F238E27FC236}">
                    <a16:creationId xmlns:a16="http://schemas.microsoft.com/office/drawing/2014/main" id="{BA58327D-179B-AC2B-EA59-24BE9E5AA3D3}"/>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66" name="TextBox 365">
                <a:hlinkClick xmlns:r="http://schemas.openxmlformats.org/officeDocument/2006/relationships" r:id="rId6"/>
                <a:extLst>
                  <a:ext uri="{FF2B5EF4-FFF2-40B4-BE49-F238E27FC236}">
                    <a16:creationId xmlns:a16="http://schemas.microsoft.com/office/drawing/2014/main" id="{578E3A3A-6424-C0DA-E43C-D347DCFB246F}"/>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367" name="Oval 366">
                <a:extLst>
                  <a:ext uri="{FF2B5EF4-FFF2-40B4-BE49-F238E27FC236}">
                    <a16:creationId xmlns:a16="http://schemas.microsoft.com/office/drawing/2014/main" id="{990998F0-482C-2BBA-EA3E-72B7D3101F9F}"/>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pic>
          <xdr:nvPicPr>
            <xdr:cNvPr id="348" name="Graphic 347" descr="Home with solid fill">
              <a:hlinkClick xmlns:r="http://schemas.openxmlformats.org/officeDocument/2006/relationships" r:id="rId7"/>
              <a:extLst>
                <a:ext uri="{FF2B5EF4-FFF2-40B4-BE49-F238E27FC236}">
                  <a16:creationId xmlns:a16="http://schemas.microsoft.com/office/drawing/2014/main" id="{D3D0D4C6-B13B-C381-A6DC-D7516A4FBFE8}"/>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643860" y="0"/>
              <a:ext cx="403302" cy="401630"/>
            </a:xfrm>
            <a:prstGeom prst="rect">
              <a:avLst/>
            </a:prstGeom>
          </xdr:spPr>
        </xdr:pic>
        <xdr:grpSp>
          <xdr:nvGrpSpPr>
            <xdr:cNvPr id="349" name="Group 348">
              <a:extLst>
                <a:ext uri="{FF2B5EF4-FFF2-40B4-BE49-F238E27FC236}">
                  <a16:creationId xmlns:a16="http://schemas.microsoft.com/office/drawing/2014/main" id="{DF8B72F5-D2E3-2141-A9CE-D15978D288CC}"/>
                </a:ext>
              </a:extLst>
            </xdr:cNvPr>
            <xdr:cNvGrpSpPr/>
          </xdr:nvGrpSpPr>
          <xdr:grpSpPr>
            <a:xfrm>
              <a:off x="10917" y="1116648"/>
              <a:ext cx="1704895" cy="449994"/>
              <a:chOff x="23753" y="989136"/>
              <a:chExt cx="1724265" cy="444500"/>
            </a:xfrm>
          </xdr:grpSpPr>
          <xdr:sp macro="" textlink="">
            <xdr:nvSpPr>
              <xdr:cNvPr id="362" name="Rectangle: Rounded Corners 361">
                <a:extLst>
                  <a:ext uri="{FF2B5EF4-FFF2-40B4-BE49-F238E27FC236}">
                    <a16:creationId xmlns:a16="http://schemas.microsoft.com/office/drawing/2014/main" id="{3F57C6AF-7E4D-A81F-5F80-C9A19880E68F}"/>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63" name="TextBox 362">
                <a:hlinkClick xmlns:r="http://schemas.openxmlformats.org/officeDocument/2006/relationships" r:id="rId10"/>
                <a:extLst>
                  <a:ext uri="{FF2B5EF4-FFF2-40B4-BE49-F238E27FC236}">
                    <a16:creationId xmlns:a16="http://schemas.microsoft.com/office/drawing/2014/main" id="{9A78C452-52B0-682E-E145-71223FB26CE1}"/>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364" name="Oval 363">
                <a:extLst>
                  <a:ext uri="{FF2B5EF4-FFF2-40B4-BE49-F238E27FC236}">
                    <a16:creationId xmlns:a16="http://schemas.microsoft.com/office/drawing/2014/main" id="{9DFDADC5-8114-6927-FB0C-AD071093618F}"/>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350" name="Group 349">
              <a:extLst>
                <a:ext uri="{FF2B5EF4-FFF2-40B4-BE49-F238E27FC236}">
                  <a16:creationId xmlns:a16="http://schemas.microsoft.com/office/drawing/2014/main" id="{A54B2A96-CB21-5429-1084-8E68A9F50E3B}"/>
                </a:ext>
              </a:extLst>
            </xdr:cNvPr>
            <xdr:cNvGrpSpPr/>
          </xdr:nvGrpSpPr>
          <xdr:grpSpPr>
            <a:xfrm>
              <a:off x="13063" y="2095136"/>
              <a:ext cx="1704895" cy="447056"/>
              <a:chOff x="13593" y="1983238"/>
              <a:chExt cx="1722818" cy="443309"/>
            </a:xfrm>
          </xdr:grpSpPr>
          <xdr:sp macro="" textlink="">
            <xdr:nvSpPr>
              <xdr:cNvPr id="359" name="Rectangle: Rounded Corners 358">
                <a:extLst>
                  <a:ext uri="{FF2B5EF4-FFF2-40B4-BE49-F238E27FC236}">
                    <a16:creationId xmlns:a16="http://schemas.microsoft.com/office/drawing/2014/main" id="{CF15B94C-D44D-938D-C928-03BE1CF6A490}"/>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60" name="TextBox 359">
                <a:hlinkClick xmlns:r="http://schemas.openxmlformats.org/officeDocument/2006/relationships" r:id="rId11"/>
                <a:extLst>
                  <a:ext uri="{FF2B5EF4-FFF2-40B4-BE49-F238E27FC236}">
                    <a16:creationId xmlns:a16="http://schemas.microsoft.com/office/drawing/2014/main" id="{76AE65FB-A358-BC10-F19E-33B64742A2FA}"/>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361" name="Oval 360">
                <a:extLst>
                  <a:ext uri="{FF2B5EF4-FFF2-40B4-BE49-F238E27FC236}">
                    <a16:creationId xmlns:a16="http://schemas.microsoft.com/office/drawing/2014/main" id="{BE071E2D-E5E1-7CA8-AB87-2EBEBFE20A16}"/>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351" name="Group 350">
              <a:extLst>
                <a:ext uri="{FF2B5EF4-FFF2-40B4-BE49-F238E27FC236}">
                  <a16:creationId xmlns:a16="http://schemas.microsoft.com/office/drawing/2014/main" id="{3ED5936A-A5D8-D386-EB19-0A345581B0F4}"/>
                </a:ext>
              </a:extLst>
            </xdr:cNvPr>
            <xdr:cNvGrpSpPr/>
          </xdr:nvGrpSpPr>
          <xdr:grpSpPr>
            <a:xfrm>
              <a:off x="12799" y="2563806"/>
              <a:ext cx="1702717" cy="444745"/>
              <a:chOff x="13317" y="2459028"/>
              <a:chExt cx="1720554" cy="441552"/>
            </a:xfrm>
          </xdr:grpSpPr>
          <xdr:sp macro="" textlink="">
            <xdr:nvSpPr>
              <xdr:cNvPr id="356" name="Rectangle: Rounded Corners 355">
                <a:extLst>
                  <a:ext uri="{FF2B5EF4-FFF2-40B4-BE49-F238E27FC236}">
                    <a16:creationId xmlns:a16="http://schemas.microsoft.com/office/drawing/2014/main" id="{62F9FF55-CE60-7F59-1DC0-F927110A2B41}"/>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57" name="TextBox 356">
                <a:hlinkClick xmlns:r="http://schemas.openxmlformats.org/officeDocument/2006/relationships" r:id="rId4"/>
                <a:extLst>
                  <a:ext uri="{FF2B5EF4-FFF2-40B4-BE49-F238E27FC236}">
                    <a16:creationId xmlns:a16="http://schemas.microsoft.com/office/drawing/2014/main" id="{2FCA2418-888E-6601-CBC2-61318F77554B}"/>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358" name="Oval 357">
                <a:extLst>
                  <a:ext uri="{FF2B5EF4-FFF2-40B4-BE49-F238E27FC236}">
                    <a16:creationId xmlns:a16="http://schemas.microsoft.com/office/drawing/2014/main" id="{5C8CB1A6-0129-39BE-4F65-3BE4DFCCE12C}"/>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nvGrpSpPr>
            <xdr:cNvPr id="352" name="Group 351">
              <a:extLst>
                <a:ext uri="{FF2B5EF4-FFF2-40B4-BE49-F238E27FC236}">
                  <a16:creationId xmlns:a16="http://schemas.microsoft.com/office/drawing/2014/main" id="{6B6D1182-C8FC-EA73-F415-7F7C03D8CAE4}"/>
                </a:ext>
              </a:extLst>
            </xdr:cNvPr>
            <xdr:cNvGrpSpPr/>
          </xdr:nvGrpSpPr>
          <xdr:grpSpPr>
            <a:xfrm>
              <a:off x="11772" y="1588905"/>
              <a:ext cx="1704895" cy="485640"/>
              <a:chOff x="21544" y="1467318"/>
              <a:chExt cx="1724265" cy="477164"/>
            </a:xfrm>
          </xdr:grpSpPr>
          <xdr:sp macro="" textlink="">
            <xdr:nvSpPr>
              <xdr:cNvPr id="353" name="Rectangle: Rounded Corners 352">
                <a:extLst>
                  <a:ext uri="{FF2B5EF4-FFF2-40B4-BE49-F238E27FC236}">
                    <a16:creationId xmlns:a16="http://schemas.microsoft.com/office/drawing/2014/main" id="{6AF7D5C3-B824-DCF2-C7E7-E77488AB5F5E}"/>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54" name="TextBox 353">
                <a:hlinkClick xmlns:r="http://schemas.openxmlformats.org/officeDocument/2006/relationships" r:id="rId12"/>
                <a:extLst>
                  <a:ext uri="{FF2B5EF4-FFF2-40B4-BE49-F238E27FC236}">
                    <a16:creationId xmlns:a16="http://schemas.microsoft.com/office/drawing/2014/main" id="{6687A711-8E24-2BCD-C0FB-FDCF7A199647}"/>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355" name="Oval 354">
                <a:extLst>
                  <a:ext uri="{FF2B5EF4-FFF2-40B4-BE49-F238E27FC236}">
                    <a16:creationId xmlns:a16="http://schemas.microsoft.com/office/drawing/2014/main" id="{6E87FEB8-D6DD-59E3-19B7-59F4D1A79C5A}"/>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grpSp>
      <xdr:grpSp>
        <xdr:nvGrpSpPr>
          <xdr:cNvPr id="6" name="Group 5">
            <a:extLst>
              <a:ext uri="{FF2B5EF4-FFF2-40B4-BE49-F238E27FC236}">
                <a16:creationId xmlns:a16="http://schemas.microsoft.com/office/drawing/2014/main" id="{3876021A-3932-A008-2580-9395F631D231}"/>
              </a:ext>
            </a:extLst>
          </xdr:cNvPr>
          <xdr:cNvGrpSpPr/>
        </xdr:nvGrpSpPr>
        <xdr:grpSpPr>
          <a:xfrm>
            <a:off x="8199" y="3503110"/>
            <a:ext cx="1704895" cy="472008"/>
            <a:chOff x="8532" y="3456662"/>
            <a:chExt cx="1722818" cy="482122"/>
          </a:xfrm>
        </xdr:grpSpPr>
        <xdr:sp macro="" textlink="">
          <xdr:nvSpPr>
            <xdr:cNvPr id="343" name="Rectangle: Rounded Corners 342">
              <a:extLst>
                <a:ext uri="{FF2B5EF4-FFF2-40B4-BE49-F238E27FC236}">
                  <a16:creationId xmlns:a16="http://schemas.microsoft.com/office/drawing/2014/main" id="{B6366BDD-551F-9F10-B894-FE6CDD09C329}"/>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44" name="TextBox 343">
              <a:hlinkClick xmlns:r="http://schemas.openxmlformats.org/officeDocument/2006/relationships" r:id="rId13"/>
              <a:extLst>
                <a:ext uri="{FF2B5EF4-FFF2-40B4-BE49-F238E27FC236}">
                  <a16:creationId xmlns:a16="http://schemas.microsoft.com/office/drawing/2014/main" id="{D41DCF27-9E2D-8F45-08D6-12175130335C}"/>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345" name="Oval 344">
              <a:extLst>
                <a:ext uri="{FF2B5EF4-FFF2-40B4-BE49-F238E27FC236}">
                  <a16:creationId xmlns:a16="http://schemas.microsoft.com/office/drawing/2014/main" id="{1BCD785C-FC53-5422-97F0-6D5A590B7C2F}"/>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46" name="TextBox 345">
              <a:hlinkClick xmlns:r="http://schemas.openxmlformats.org/officeDocument/2006/relationships" r:id="rId13"/>
              <a:extLst>
                <a:ext uri="{FF2B5EF4-FFF2-40B4-BE49-F238E27FC236}">
                  <a16:creationId xmlns:a16="http://schemas.microsoft.com/office/drawing/2014/main" id="{A2309CD0-AE4A-7B4D-3E05-CC3E1A4D57C7}"/>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grpSp>
        <xdr:nvGrpSpPr>
          <xdr:cNvPr id="7" name="Group 6">
            <a:extLst>
              <a:ext uri="{FF2B5EF4-FFF2-40B4-BE49-F238E27FC236}">
                <a16:creationId xmlns:a16="http://schemas.microsoft.com/office/drawing/2014/main" id="{D800446A-3447-92A7-CDF6-A0667243BCC8}"/>
              </a:ext>
            </a:extLst>
          </xdr:cNvPr>
          <xdr:cNvGrpSpPr/>
        </xdr:nvGrpSpPr>
        <xdr:grpSpPr>
          <a:xfrm>
            <a:off x="6077" y="3987895"/>
            <a:ext cx="1707169" cy="442981"/>
            <a:chOff x="6323" y="3964228"/>
            <a:chExt cx="1725184" cy="454551"/>
          </a:xfrm>
        </xdr:grpSpPr>
        <xdr:sp macro="" textlink="">
          <xdr:nvSpPr>
            <xdr:cNvPr id="339" name="Rectangle: Rounded Corners 338">
              <a:extLst>
                <a:ext uri="{FF2B5EF4-FFF2-40B4-BE49-F238E27FC236}">
                  <a16:creationId xmlns:a16="http://schemas.microsoft.com/office/drawing/2014/main" id="{0C952C23-E6F9-D98A-540D-D1007F8FDB43}"/>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40" name="TextBox 339">
              <a:hlinkClick xmlns:r="http://schemas.openxmlformats.org/officeDocument/2006/relationships" r:id="rId14"/>
              <a:extLst>
                <a:ext uri="{FF2B5EF4-FFF2-40B4-BE49-F238E27FC236}">
                  <a16:creationId xmlns:a16="http://schemas.microsoft.com/office/drawing/2014/main" id="{F55051A0-79D4-7B6D-41D7-D81C9696D11A}"/>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41" name="Oval 340">
              <a:extLst>
                <a:ext uri="{FF2B5EF4-FFF2-40B4-BE49-F238E27FC236}">
                  <a16:creationId xmlns:a16="http://schemas.microsoft.com/office/drawing/2014/main" id="{F646FD4A-DC85-A2F4-07D8-1AFA32DAC282}"/>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42" name="TextBox 341">
              <a:hlinkClick xmlns:r="http://schemas.openxmlformats.org/officeDocument/2006/relationships" r:id="rId14"/>
              <a:extLst>
                <a:ext uri="{FF2B5EF4-FFF2-40B4-BE49-F238E27FC236}">
                  <a16:creationId xmlns:a16="http://schemas.microsoft.com/office/drawing/2014/main" id="{E56AFD3B-00AD-26F8-1A90-1B8805456D06}"/>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grpSp>
        <xdr:nvGrpSpPr>
          <xdr:cNvPr id="8" name="Group 7">
            <a:extLst>
              <a:ext uri="{FF2B5EF4-FFF2-40B4-BE49-F238E27FC236}">
                <a16:creationId xmlns:a16="http://schemas.microsoft.com/office/drawing/2014/main" id="{29AF9F40-2209-EF62-8DE3-6A8922880351}"/>
              </a:ext>
            </a:extLst>
          </xdr:cNvPr>
          <xdr:cNvGrpSpPr/>
        </xdr:nvGrpSpPr>
        <xdr:grpSpPr>
          <a:xfrm>
            <a:off x="2748" y="4448077"/>
            <a:ext cx="1707169" cy="481751"/>
            <a:chOff x="2860" y="4442071"/>
            <a:chExt cx="1725184" cy="485874"/>
          </a:xfrm>
        </xdr:grpSpPr>
        <xdr:sp macro="" textlink="">
          <xdr:nvSpPr>
            <xdr:cNvPr id="335" name="Rectangle: Rounded Corners 334">
              <a:extLst>
                <a:ext uri="{FF2B5EF4-FFF2-40B4-BE49-F238E27FC236}">
                  <a16:creationId xmlns:a16="http://schemas.microsoft.com/office/drawing/2014/main" id="{F3D2C58A-A1E7-5524-8908-950C1DEAAE21}"/>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36" name="TextBox 335">
              <a:hlinkClick xmlns:r="http://schemas.openxmlformats.org/officeDocument/2006/relationships" r:id="rId15"/>
              <a:extLst>
                <a:ext uri="{FF2B5EF4-FFF2-40B4-BE49-F238E27FC236}">
                  <a16:creationId xmlns:a16="http://schemas.microsoft.com/office/drawing/2014/main" id="{0620F97B-3780-6899-1F29-311157CDC4F2}"/>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37" name="Oval 336">
              <a:extLst>
                <a:ext uri="{FF2B5EF4-FFF2-40B4-BE49-F238E27FC236}">
                  <a16:creationId xmlns:a16="http://schemas.microsoft.com/office/drawing/2014/main" id="{00F6878C-C36B-2B5F-71C9-6A9EA466121C}"/>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38" name="TextBox 337">
              <a:hlinkClick xmlns:r="http://schemas.openxmlformats.org/officeDocument/2006/relationships" r:id="rId15"/>
              <a:extLst>
                <a:ext uri="{FF2B5EF4-FFF2-40B4-BE49-F238E27FC236}">
                  <a16:creationId xmlns:a16="http://schemas.microsoft.com/office/drawing/2014/main" id="{13C5252D-11D9-64C8-5807-2450BC626A8A}"/>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grpSp>
        <xdr:nvGrpSpPr>
          <xdr:cNvPr id="9" name="Group 8">
            <a:extLst>
              <a:ext uri="{FF2B5EF4-FFF2-40B4-BE49-F238E27FC236}">
                <a16:creationId xmlns:a16="http://schemas.microsoft.com/office/drawing/2014/main" id="{3EC260D4-CA2A-0209-D3D3-C5F14EF9A1FC}"/>
              </a:ext>
            </a:extLst>
          </xdr:cNvPr>
          <xdr:cNvGrpSpPr/>
        </xdr:nvGrpSpPr>
        <xdr:grpSpPr>
          <a:xfrm>
            <a:off x="2133" y="4952129"/>
            <a:ext cx="1707169" cy="437517"/>
            <a:chOff x="2219" y="4949272"/>
            <a:chExt cx="1725184" cy="456170"/>
          </a:xfrm>
        </xdr:grpSpPr>
        <xdr:sp macro="" textlink="">
          <xdr:nvSpPr>
            <xdr:cNvPr id="331" name="Rectangle: Rounded Corners 330">
              <a:extLst>
                <a:ext uri="{FF2B5EF4-FFF2-40B4-BE49-F238E27FC236}">
                  <a16:creationId xmlns:a16="http://schemas.microsoft.com/office/drawing/2014/main" id="{6850AE9E-9D46-D1DA-EC2D-DD82EF900AC5}"/>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32" name="TextBox 331">
              <a:hlinkClick xmlns:r="http://schemas.openxmlformats.org/officeDocument/2006/relationships" r:id="rId16"/>
              <a:extLst>
                <a:ext uri="{FF2B5EF4-FFF2-40B4-BE49-F238E27FC236}">
                  <a16:creationId xmlns:a16="http://schemas.microsoft.com/office/drawing/2014/main" id="{6D8CBE06-5EF7-87E4-1515-9F8D0D7CC4E0}"/>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33" name="Oval 332">
              <a:extLst>
                <a:ext uri="{FF2B5EF4-FFF2-40B4-BE49-F238E27FC236}">
                  <a16:creationId xmlns:a16="http://schemas.microsoft.com/office/drawing/2014/main" id="{549D2F67-D1F8-7CD8-8B77-B15EB575DE6C}"/>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34" name="TextBox 333">
              <a:hlinkClick xmlns:r="http://schemas.openxmlformats.org/officeDocument/2006/relationships" r:id="rId16"/>
              <a:extLst>
                <a:ext uri="{FF2B5EF4-FFF2-40B4-BE49-F238E27FC236}">
                  <a16:creationId xmlns:a16="http://schemas.microsoft.com/office/drawing/2014/main" id="{CE7AC646-0F2D-7FA5-51EB-5840F4D2BEA0}"/>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grpSp>
        <xdr:nvGrpSpPr>
          <xdr:cNvPr id="10" name="Group 9">
            <a:extLst>
              <a:ext uri="{FF2B5EF4-FFF2-40B4-BE49-F238E27FC236}">
                <a16:creationId xmlns:a16="http://schemas.microsoft.com/office/drawing/2014/main" id="{A410D538-22B6-A758-0F4A-95B635F7D94F}"/>
              </a:ext>
            </a:extLst>
          </xdr:cNvPr>
          <xdr:cNvGrpSpPr/>
        </xdr:nvGrpSpPr>
        <xdr:grpSpPr>
          <a:xfrm>
            <a:off x="2129" y="5408531"/>
            <a:ext cx="1707169" cy="470473"/>
            <a:chOff x="2215" y="5434042"/>
            <a:chExt cx="1725184" cy="486597"/>
          </a:xfrm>
        </xdr:grpSpPr>
        <xdr:sp macro="" textlink="">
          <xdr:nvSpPr>
            <xdr:cNvPr id="327" name="Rectangle: Rounded Corners 326">
              <a:extLst>
                <a:ext uri="{FF2B5EF4-FFF2-40B4-BE49-F238E27FC236}">
                  <a16:creationId xmlns:a16="http://schemas.microsoft.com/office/drawing/2014/main" id="{745A2955-69A7-21BE-3024-C4B23E207AA2}"/>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28" name="TextBox 327">
              <a:hlinkClick xmlns:r="http://schemas.openxmlformats.org/officeDocument/2006/relationships" r:id="rId17"/>
              <a:extLst>
                <a:ext uri="{FF2B5EF4-FFF2-40B4-BE49-F238E27FC236}">
                  <a16:creationId xmlns:a16="http://schemas.microsoft.com/office/drawing/2014/main" id="{E594EECB-4457-4907-0A9A-64582A6C6710}"/>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29" name="Oval 328">
              <a:extLst>
                <a:ext uri="{FF2B5EF4-FFF2-40B4-BE49-F238E27FC236}">
                  <a16:creationId xmlns:a16="http://schemas.microsoft.com/office/drawing/2014/main" id="{FD5C042A-F9CF-833B-7FF1-14F035A1382C}"/>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30" name="TextBox 329">
              <a:hlinkClick xmlns:r="http://schemas.openxmlformats.org/officeDocument/2006/relationships" r:id="rId17"/>
              <a:extLst>
                <a:ext uri="{FF2B5EF4-FFF2-40B4-BE49-F238E27FC236}">
                  <a16:creationId xmlns:a16="http://schemas.microsoft.com/office/drawing/2014/main" id="{327A0FC6-1A65-8BC6-F587-1C0D597D53C7}"/>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grpSp>
        <xdr:nvGrpSpPr>
          <xdr:cNvPr id="11" name="Group 10">
            <a:extLst>
              <a:ext uri="{FF2B5EF4-FFF2-40B4-BE49-F238E27FC236}">
                <a16:creationId xmlns:a16="http://schemas.microsoft.com/office/drawing/2014/main" id="{93D04615-1675-114C-CB40-0F7AACF7AF55}"/>
              </a:ext>
            </a:extLst>
          </xdr:cNvPr>
          <xdr:cNvGrpSpPr/>
        </xdr:nvGrpSpPr>
        <xdr:grpSpPr>
          <a:xfrm>
            <a:off x="2127" y="5896829"/>
            <a:ext cx="1707169" cy="481751"/>
            <a:chOff x="2213" y="5938772"/>
            <a:chExt cx="1725184" cy="485874"/>
          </a:xfrm>
        </xdr:grpSpPr>
        <xdr:sp macro="" textlink="">
          <xdr:nvSpPr>
            <xdr:cNvPr id="323" name="Rectangle: Rounded Corners 322">
              <a:extLst>
                <a:ext uri="{FF2B5EF4-FFF2-40B4-BE49-F238E27FC236}">
                  <a16:creationId xmlns:a16="http://schemas.microsoft.com/office/drawing/2014/main" id="{D63E2ACA-0B0C-23BD-5309-3E9FCCDB0537}"/>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24" name="TextBox 323">
              <a:hlinkClick xmlns:r="http://schemas.openxmlformats.org/officeDocument/2006/relationships" r:id="rId18"/>
              <a:extLst>
                <a:ext uri="{FF2B5EF4-FFF2-40B4-BE49-F238E27FC236}">
                  <a16:creationId xmlns:a16="http://schemas.microsoft.com/office/drawing/2014/main" id="{C803EAC3-3ADF-1619-695B-B01C20036B17}"/>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25" name="Oval 324">
              <a:extLst>
                <a:ext uri="{FF2B5EF4-FFF2-40B4-BE49-F238E27FC236}">
                  <a16:creationId xmlns:a16="http://schemas.microsoft.com/office/drawing/2014/main" id="{8765952E-3969-DB63-BB21-BEADB8743AEF}"/>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26" name="TextBox 325">
              <a:hlinkClick xmlns:r="http://schemas.openxmlformats.org/officeDocument/2006/relationships" r:id="rId18"/>
              <a:extLst>
                <a:ext uri="{FF2B5EF4-FFF2-40B4-BE49-F238E27FC236}">
                  <a16:creationId xmlns:a16="http://schemas.microsoft.com/office/drawing/2014/main" id="{CAAA8F49-66EE-3698-E95F-E10108C4AFE9}"/>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grpSp>
        <xdr:nvGrpSpPr>
          <xdr:cNvPr id="12" name="Group 11">
            <a:extLst>
              <a:ext uri="{FF2B5EF4-FFF2-40B4-BE49-F238E27FC236}">
                <a16:creationId xmlns:a16="http://schemas.microsoft.com/office/drawing/2014/main" id="{50684CC1-830F-7D4E-531E-9DA1794F2987}"/>
              </a:ext>
            </a:extLst>
          </xdr:cNvPr>
          <xdr:cNvGrpSpPr/>
        </xdr:nvGrpSpPr>
        <xdr:grpSpPr>
          <a:xfrm>
            <a:off x="842" y="6392320"/>
            <a:ext cx="1707169" cy="444321"/>
            <a:chOff x="876" y="6443539"/>
            <a:chExt cx="1725184" cy="456924"/>
          </a:xfrm>
        </xdr:grpSpPr>
        <xdr:sp macro="" textlink="">
          <xdr:nvSpPr>
            <xdr:cNvPr id="319" name="Rectangle: Rounded Corners 318">
              <a:extLst>
                <a:ext uri="{FF2B5EF4-FFF2-40B4-BE49-F238E27FC236}">
                  <a16:creationId xmlns:a16="http://schemas.microsoft.com/office/drawing/2014/main" id="{FBC13496-58DA-92F3-ED81-844B2323F638}"/>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20" name="TextBox 319">
              <a:hlinkClick xmlns:r="http://schemas.openxmlformats.org/officeDocument/2006/relationships" r:id="rId19"/>
              <a:extLst>
                <a:ext uri="{FF2B5EF4-FFF2-40B4-BE49-F238E27FC236}">
                  <a16:creationId xmlns:a16="http://schemas.microsoft.com/office/drawing/2014/main" id="{919C6829-8E90-3F94-12F5-357B27C94283}"/>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21" name="Oval 320">
              <a:extLst>
                <a:ext uri="{FF2B5EF4-FFF2-40B4-BE49-F238E27FC236}">
                  <a16:creationId xmlns:a16="http://schemas.microsoft.com/office/drawing/2014/main" id="{6453BC36-C7A1-3FD8-E792-9B2BCFDAD00F}"/>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22" name="TextBox 321">
              <a:hlinkClick xmlns:r="http://schemas.openxmlformats.org/officeDocument/2006/relationships" r:id="rId19"/>
              <a:extLst>
                <a:ext uri="{FF2B5EF4-FFF2-40B4-BE49-F238E27FC236}">
                  <a16:creationId xmlns:a16="http://schemas.microsoft.com/office/drawing/2014/main" id="{D16CFC3E-74AC-92CC-2893-09A6FDB54D36}"/>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grpSp>
        <xdr:nvGrpSpPr>
          <xdr:cNvPr id="13" name="Group 12">
            <a:extLst>
              <a:ext uri="{FF2B5EF4-FFF2-40B4-BE49-F238E27FC236}">
                <a16:creationId xmlns:a16="http://schemas.microsoft.com/office/drawing/2014/main" id="{408C7B09-A758-599C-EBFD-5286110D2A3F}"/>
              </a:ext>
            </a:extLst>
          </xdr:cNvPr>
          <xdr:cNvGrpSpPr/>
        </xdr:nvGrpSpPr>
        <xdr:grpSpPr>
          <a:xfrm>
            <a:off x="1777" y="7345665"/>
            <a:ext cx="1707169" cy="452427"/>
            <a:chOff x="1849" y="7421500"/>
            <a:chExt cx="1725184" cy="457832"/>
          </a:xfrm>
        </xdr:grpSpPr>
        <xdr:sp macro="" textlink="">
          <xdr:nvSpPr>
            <xdr:cNvPr id="315" name="Rectangle: Rounded Corners 314">
              <a:extLst>
                <a:ext uri="{FF2B5EF4-FFF2-40B4-BE49-F238E27FC236}">
                  <a16:creationId xmlns:a16="http://schemas.microsoft.com/office/drawing/2014/main" id="{59DF4DE1-F547-5AA8-7D39-010E9D6200F3}"/>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16" name="TextBox 315">
              <a:hlinkClick xmlns:r="http://schemas.openxmlformats.org/officeDocument/2006/relationships" r:id="rId20"/>
              <a:extLst>
                <a:ext uri="{FF2B5EF4-FFF2-40B4-BE49-F238E27FC236}">
                  <a16:creationId xmlns:a16="http://schemas.microsoft.com/office/drawing/2014/main" id="{E8A5A4FC-09B5-29E2-CD90-0B61F35250B7}"/>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17" name="Oval 316">
              <a:extLst>
                <a:ext uri="{FF2B5EF4-FFF2-40B4-BE49-F238E27FC236}">
                  <a16:creationId xmlns:a16="http://schemas.microsoft.com/office/drawing/2014/main" id="{ABC76B1C-7D35-6443-41DB-116D187082F7}"/>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18" name="TextBox 317">
              <a:hlinkClick xmlns:r="http://schemas.openxmlformats.org/officeDocument/2006/relationships" r:id="rId20"/>
              <a:extLst>
                <a:ext uri="{FF2B5EF4-FFF2-40B4-BE49-F238E27FC236}">
                  <a16:creationId xmlns:a16="http://schemas.microsoft.com/office/drawing/2014/main" id="{0D691DD6-8024-99F4-D70C-E96F21E87A5C}"/>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grpSp>
        <xdr:nvGrpSpPr>
          <xdr:cNvPr id="14" name="Group 13">
            <a:extLst>
              <a:ext uri="{FF2B5EF4-FFF2-40B4-BE49-F238E27FC236}">
                <a16:creationId xmlns:a16="http://schemas.microsoft.com/office/drawing/2014/main" id="{3104F01B-3C46-2A87-E023-2E0C4CE95C40}"/>
              </a:ext>
            </a:extLst>
          </xdr:cNvPr>
          <xdr:cNvGrpSpPr/>
        </xdr:nvGrpSpPr>
        <xdr:grpSpPr>
          <a:xfrm>
            <a:off x="3704" y="7819577"/>
            <a:ext cx="1707169" cy="475589"/>
            <a:chOff x="3854" y="7898602"/>
            <a:chExt cx="1725184" cy="486825"/>
          </a:xfrm>
        </xdr:grpSpPr>
        <xdr:sp macro="" textlink="">
          <xdr:nvSpPr>
            <xdr:cNvPr id="311" name="Rectangle: Rounded Corners 310">
              <a:extLst>
                <a:ext uri="{FF2B5EF4-FFF2-40B4-BE49-F238E27FC236}">
                  <a16:creationId xmlns:a16="http://schemas.microsoft.com/office/drawing/2014/main" id="{1345322E-F75B-192F-C3F1-98C070DC98CB}"/>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12" name="TextBox 311">
              <a:hlinkClick xmlns:r="http://schemas.openxmlformats.org/officeDocument/2006/relationships" r:id="rId21"/>
              <a:extLst>
                <a:ext uri="{FF2B5EF4-FFF2-40B4-BE49-F238E27FC236}">
                  <a16:creationId xmlns:a16="http://schemas.microsoft.com/office/drawing/2014/main" id="{EBD942EE-F515-C582-07B6-EE9270BCC7E2}"/>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13" name="Oval 312">
              <a:extLst>
                <a:ext uri="{FF2B5EF4-FFF2-40B4-BE49-F238E27FC236}">
                  <a16:creationId xmlns:a16="http://schemas.microsoft.com/office/drawing/2014/main" id="{64743494-2606-F72A-2C26-F9E0C88B63A2}"/>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14" name="TextBox 313">
              <a:hlinkClick xmlns:r="http://schemas.openxmlformats.org/officeDocument/2006/relationships" r:id="rId21"/>
              <a:extLst>
                <a:ext uri="{FF2B5EF4-FFF2-40B4-BE49-F238E27FC236}">
                  <a16:creationId xmlns:a16="http://schemas.microsoft.com/office/drawing/2014/main" id="{18768A6D-B195-7515-1FB0-2193E576AB87}"/>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grpSp>
        <xdr:nvGrpSpPr>
          <xdr:cNvPr id="15" name="Group 14">
            <a:extLst>
              <a:ext uri="{FF2B5EF4-FFF2-40B4-BE49-F238E27FC236}">
                <a16:creationId xmlns:a16="http://schemas.microsoft.com/office/drawing/2014/main" id="{56C5CEF9-0184-7FC8-A32B-C15DBEAEE4A1}"/>
              </a:ext>
            </a:extLst>
          </xdr:cNvPr>
          <xdr:cNvGrpSpPr/>
        </xdr:nvGrpSpPr>
        <xdr:grpSpPr>
          <a:xfrm>
            <a:off x="4988" y="8319231"/>
            <a:ext cx="1707169" cy="443904"/>
            <a:chOff x="5190" y="8408439"/>
            <a:chExt cx="1725184" cy="455434"/>
          </a:xfrm>
        </xdr:grpSpPr>
        <xdr:sp macro="" textlink="">
          <xdr:nvSpPr>
            <xdr:cNvPr id="307" name="Rectangle: Rounded Corners 306">
              <a:extLst>
                <a:ext uri="{FF2B5EF4-FFF2-40B4-BE49-F238E27FC236}">
                  <a16:creationId xmlns:a16="http://schemas.microsoft.com/office/drawing/2014/main" id="{1A1DC766-A3A8-78EB-FB84-C7768C06B383}"/>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08" name="TextBox 307">
              <a:hlinkClick xmlns:r="http://schemas.openxmlformats.org/officeDocument/2006/relationships" r:id="rId22"/>
              <a:extLst>
                <a:ext uri="{FF2B5EF4-FFF2-40B4-BE49-F238E27FC236}">
                  <a16:creationId xmlns:a16="http://schemas.microsoft.com/office/drawing/2014/main" id="{7430CA99-7898-BEA8-6B92-DFA8776E7EB1}"/>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09" name="Oval 308">
              <a:extLst>
                <a:ext uri="{FF2B5EF4-FFF2-40B4-BE49-F238E27FC236}">
                  <a16:creationId xmlns:a16="http://schemas.microsoft.com/office/drawing/2014/main" id="{38862904-2B01-B95E-613A-90034A3F6523}"/>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10" name="TextBox 309">
              <a:hlinkClick xmlns:r="http://schemas.openxmlformats.org/officeDocument/2006/relationships" r:id="rId22"/>
              <a:extLst>
                <a:ext uri="{FF2B5EF4-FFF2-40B4-BE49-F238E27FC236}">
                  <a16:creationId xmlns:a16="http://schemas.microsoft.com/office/drawing/2014/main" id="{318ECC32-C180-0FC3-F1E2-DE7F30AF7BE4}"/>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grpSp>
        <xdr:nvGrpSpPr>
          <xdr:cNvPr id="16" name="Group 15">
            <a:extLst>
              <a:ext uri="{FF2B5EF4-FFF2-40B4-BE49-F238E27FC236}">
                <a16:creationId xmlns:a16="http://schemas.microsoft.com/office/drawing/2014/main" id="{493A2F8C-47F7-ED87-5785-ACA1AA876F24}"/>
              </a:ext>
            </a:extLst>
          </xdr:cNvPr>
          <xdr:cNvGrpSpPr/>
        </xdr:nvGrpSpPr>
        <xdr:grpSpPr>
          <a:xfrm>
            <a:off x="6038" y="8775901"/>
            <a:ext cx="1707169" cy="469007"/>
            <a:chOff x="6283" y="8882925"/>
            <a:chExt cx="1725184" cy="479438"/>
          </a:xfrm>
        </xdr:grpSpPr>
        <xdr:sp macro="" textlink="">
          <xdr:nvSpPr>
            <xdr:cNvPr id="303" name="Rectangle: Rounded Corners 302">
              <a:extLst>
                <a:ext uri="{FF2B5EF4-FFF2-40B4-BE49-F238E27FC236}">
                  <a16:creationId xmlns:a16="http://schemas.microsoft.com/office/drawing/2014/main" id="{E9C30D51-1F3F-377D-444E-4F88611F9045}"/>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04" name="TextBox 303">
              <a:hlinkClick xmlns:r="http://schemas.openxmlformats.org/officeDocument/2006/relationships" r:id="rId23"/>
              <a:extLst>
                <a:ext uri="{FF2B5EF4-FFF2-40B4-BE49-F238E27FC236}">
                  <a16:creationId xmlns:a16="http://schemas.microsoft.com/office/drawing/2014/main" id="{634DECA5-7C4C-0651-0023-EF6333048B01}"/>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05" name="Oval 304">
              <a:extLst>
                <a:ext uri="{FF2B5EF4-FFF2-40B4-BE49-F238E27FC236}">
                  <a16:creationId xmlns:a16="http://schemas.microsoft.com/office/drawing/2014/main" id="{60770598-027B-4A9F-AE0C-B035530FF042}"/>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06" name="TextBox 305">
              <a:hlinkClick xmlns:r="http://schemas.openxmlformats.org/officeDocument/2006/relationships" r:id="rId23"/>
              <a:extLst>
                <a:ext uri="{FF2B5EF4-FFF2-40B4-BE49-F238E27FC236}">
                  <a16:creationId xmlns:a16="http://schemas.microsoft.com/office/drawing/2014/main" id="{BA897EBC-C41D-9702-2CDF-8729DD52B19C}"/>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grpSp>
        <xdr:nvGrpSpPr>
          <xdr:cNvPr id="17" name="Group 16">
            <a:extLst>
              <a:ext uri="{FF2B5EF4-FFF2-40B4-BE49-F238E27FC236}">
                <a16:creationId xmlns:a16="http://schemas.microsoft.com/office/drawing/2014/main" id="{E92C9A29-BF27-76B3-E99C-8634C7BB6FDD}"/>
              </a:ext>
            </a:extLst>
          </xdr:cNvPr>
          <xdr:cNvGrpSpPr/>
        </xdr:nvGrpSpPr>
        <xdr:grpSpPr>
          <a:xfrm>
            <a:off x="4605" y="9757198"/>
            <a:ext cx="1707169" cy="447679"/>
            <a:chOff x="4792" y="9884285"/>
            <a:chExt cx="1725184" cy="459044"/>
          </a:xfrm>
        </xdr:grpSpPr>
        <xdr:sp macro="" textlink="">
          <xdr:nvSpPr>
            <xdr:cNvPr id="134" name="Rectangle: Rounded Corners 133">
              <a:extLst>
                <a:ext uri="{FF2B5EF4-FFF2-40B4-BE49-F238E27FC236}">
                  <a16:creationId xmlns:a16="http://schemas.microsoft.com/office/drawing/2014/main" id="{F6FCBF62-764D-0B54-F4D6-0B39DB3F8843}"/>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24"/>
              <a:extLst>
                <a:ext uri="{FF2B5EF4-FFF2-40B4-BE49-F238E27FC236}">
                  <a16:creationId xmlns:a16="http://schemas.microsoft.com/office/drawing/2014/main" id="{B66DD917-4421-7375-2249-EBEB11B8D934}"/>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63" name="Oval 162">
              <a:extLst>
                <a:ext uri="{FF2B5EF4-FFF2-40B4-BE49-F238E27FC236}">
                  <a16:creationId xmlns:a16="http://schemas.microsoft.com/office/drawing/2014/main" id="{B10A67DC-372A-B847-07FF-33CE6B5A38D2}"/>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02" name="TextBox 301">
              <a:hlinkClick xmlns:r="http://schemas.openxmlformats.org/officeDocument/2006/relationships" r:id="rId24"/>
              <a:extLst>
                <a:ext uri="{FF2B5EF4-FFF2-40B4-BE49-F238E27FC236}">
                  <a16:creationId xmlns:a16="http://schemas.microsoft.com/office/drawing/2014/main" id="{43089AEC-328D-D3BB-BEC0-234110295BDE}"/>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grpSp>
        <xdr:nvGrpSpPr>
          <xdr:cNvPr id="18" name="Group 17">
            <a:extLst>
              <a:ext uri="{FF2B5EF4-FFF2-40B4-BE49-F238E27FC236}">
                <a16:creationId xmlns:a16="http://schemas.microsoft.com/office/drawing/2014/main" id="{8B3DEDB6-9601-9067-DE51-7AE38BD0D409}"/>
              </a:ext>
            </a:extLst>
          </xdr:cNvPr>
          <xdr:cNvGrpSpPr/>
        </xdr:nvGrpSpPr>
        <xdr:grpSpPr>
          <a:xfrm>
            <a:off x="5368" y="9262861"/>
            <a:ext cx="1707169" cy="470099"/>
            <a:chOff x="5586" y="9379532"/>
            <a:chExt cx="1725184" cy="481576"/>
          </a:xfrm>
        </xdr:grpSpPr>
        <xdr:sp macro="" textlink="">
          <xdr:nvSpPr>
            <xdr:cNvPr id="130" name="Rectangle: Rounded Corners 129">
              <a:extLst>
                <a:ext uri="{FF2B5EF4-FFF2-40B4-BE49-F238E27FC236}">
                  <a16:creationId xmlns:a16="http://schemas.microsoft.com/office/drawing/2014/main" id="{ABD261DC-BFA0-62A3-D8B6-1D957F5AF6DA}"/>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1" name="TextBox 130">
              <a:hlinkClick xmlns:r="http://schemas.openxmlformats.org/officeDocument/2006/relationships" r:id="rId25"/>
              <a:extLst>
                <a:ext uri="{FF2B5EF4-FFF2-40B4-BE49-F238E27FC236}">
                  <a16:creationId xmlns:a16="http://schemas.microsoft.com/office/drawing/2014/main" id="{0C2E75EB-5DA4-31C5-49F2-83EED2C6F866}"/>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32" name="Oval 131">
              <a:extLst>
                <a:ext uri="{FF2B5EF4-FFF2-40B4-BE49-F238E27FC236}">
                  <a16:creationId xmlns:a16="http://schemas.microsoft.com/office/drawing/2014/main" id="{8F1C6344-4869-777A-2277-B5F3B85D5E75}"/>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33" name="TextBox 132">
              <a:hlinkClick xmlns:r="http://schemas.openxmlformats.org/officeDocument/2006/relationships" r:id="rId25"/>
              <a:extLst>
                <a:ext uri="{FF2B5EF4-FFF2-40B4-BE49-F238E27FC236}">
                  <a16:creationId xmlns:a16="http://schemas.microsoft.com/office/drawing/2014/main" id="{EF4418A2-501F-5E24-BCEC-9F3487733B4E}"/>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grpSp>
        <xdr:nvGrpSpPr>
          <xdr:cNvPr id="19" name="Group 18">
            <a:extLst>
              <a:ext uri="{FF2B5EF4-FFF2-40B4-BE49-F238E27FC236}">
                <a16:creationId xmlns:a16="http://schemas.microsoft.com/office/drawing/2014/main" id="{DB098F30-745E-9D25-1537-CB5CF1968EC4}"/>
              </a:ext>
            </a:extLst>
          </xdr:cNvPr>
          <xdr:cNvGrpSpPr/>
        </xdr:nvGrpSpPr>
        <xdr:grpSpPr>
          <a:xfrm>
            <a:off x="3836" y="10213261"/>
            <a:ext cx="1707169" cy="476363"/>
            <a:chOff x="3992" y="10358190"/>
            <a:chExt cx="1725184" cy="486476"/>
          </a:xfrm>
        </xdr:grpSpPr>
        <xdr:sp macro="" textlink="">
          <xdr:nvSpPr>
            <xdr:cNvPr id="62" name="Rectangle: Rounded Corners 61">
              <a:extLst>
                <a:ext uri="{FF2B5EF4-FFF2-40B4-BE49-F238E27FC236}">
                  <a16:creationId xmlns:a16="http://schemas.microsoft.com/office/drawing/2014/main" id="{B35CA4AC-1441-C36F-049E-9DAD110963AF}"/>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3" name="TextBox 62">
              <a:hlinkClick xmlns:r="http://schemas.openxmlformats.org/officeDocument/2006/relationships" r:id="rId26"/>
              <a:extLst>
                <a:ext uri="{FF2B5EF4-FFF2-40B4-BE49-F238E27FC236}">
                  <a16:creationId xmlns:a16="http://schemas.microsoft.com/office/drawing/2014/main" id="{ECB120A1-320F-D41C-85D7-1C0528472E24}"/>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28" name="Oval 127">
              <a:extLst>
                <a:ext uri="{FF2B5EF4-FFF2-40B4-BE49-F238E27FC236}">
                  <a16:creationId xmlns:a16="http://schemas.microsoft.com/office/drawing/2014/main" id="{A0DEBD8B-0ED4-DD57-A19E-18EEF5D24005}"/>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26"/>
              <a:extLst>
                <a:ext uri="{FF2B5EF4-FFF2-40B4-BE49-F238E27FC236}">
                  <a16:creationId xmlns:a16="http://schemas.microsoft.com/office/drawing/2014/main" id="{D1529C56-D743-4215-F1EA-624D37425374}"/>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grpSp>
        <xdr:nvGrpSpPr>
          <xdr:cNvPr id="20" name="Group 19">
            <a:extLst>
              <a:ext uri="{FF2B5EF4-FFF2-40B4-BE49-F238E27FC236}">
                <a16:creationId xmlns:a16="http://schemas.microsoft.com/office/drawing/2014/main" id="{01E8EA05-351F-7B23-F341-BE7312A29F0A}"/>
              </a:ext>
            </a:extLst>
          </xdr:cNvPr>
          <xdr:cNvGrpSpPr/>
        </xdr:nvGrpSpPr>
        <xdr:grpSpPr>
          <a:xfrm>
            <a:off x="5499" y="10706912"/>
            <a:ext cx="1707169" cy="442778"/>
            <a:chOff x="5723" y="10874564"/>
            <a:chExt cx="1725184" cy="455447"/>
          </a:xfrm>
        </xdr:grpSpPr>
        <xdr:sp macro="" textlink="">
          <xdr:nvSpPr>
            <xdr:cNvPr id="58" name="Rectangle: Rounded Corners 57">
              <a:extLst>
                <a:ext uri="{FF2B5EF4-FFF2-40B4-BE49-F238E27FC236}">
                  <a16:creationId xmlns:a16="http://schemas.microsoft.com/office/drawing/2014/main" id="{0FD6B034-8662-ED66-3907-6678F78CEB33}"/>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9" name="TextBox 58">
              <a:hlinkClick xmlns:r="http://schemas.openxmlformats.org/officeDocument/2006/relationships" r:id="rId27"/>
              <a:extLst>
                <a:ext uri="{FF2B5EF4-FFF2-40B4-BE49-F238E27FC236}">
                  <a16:creationId xmlns:a16="http://schemas.microsoft.com/office/drawing/2014/main" id="{F326DA00-FB91-E020-51BC-9C71CDAF1164}"/>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0" name="Oval 59">
              <a:extLst>
                <a:ext uri="{FF2B5EF4-FFF2-40B4-BE49-F238E27FC236}">
                  <a16:creationId xmlns:a16="http://schemas.microsoft.com/office/drawing/2014/main" id="{3E31C258-2DA7-8A36-8994-8109602E91DF}"/>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1" name="TextBox 60">
              <a:hlinkClick xmlns:r="http://schemas.openxmlformats.org/officeDocument/2006/relationships" r:id="rId27"/>
              <a:extLst>
                <a:ext uri="{FF2B5EF4-FFF2-40B4-BE49-F238E27FC236}">
                  <a16:creationId xmlns:a16="http://schemas.microsoft.com/office/drawing/2014/main" id="{13335AEF-ABF8-1B4B-7B87-5245C6C6FBE8}"/>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grpSp>
        <xdr:nvGrpSpPr>
          <xdr:cNvPr id="21" name="Group 20">
            <a:extLst>
              <a:ext uri="{FF2B5EF4-FFF2-40B4-BE49-F238E27FC236}">
                <a16:creationId xmlns:a16="http://schemas.microsoft.com/office/drawing/2014/main" id="{C5D44E78-9A48-D3EA-DFC3-402C01AAE57F}"/>
              </a:ext>
            </a:extLst>
          </xdr:cNvPr>
          <xdr:cNvGrpSpPr/>
        </xdr:nvGrpSpPr>
        <xdr:grpSpPr>
          <a:xfrm>
            <a:off x="4302" y="11168496"/>
            <a:ext cx="1707169" cy="469604"/>
            <a:chOff x="4477" y="11347997"/>
            <a:chExt cx="1725184" cy="480012"/>
          </a:xfrm>
        </xdr:grpSpPr>
        <xdr:sp macro="" textlink="">
          <xdr:nvSpPr>
            <xdr:cNvPr id="54" name="Rectangle: Rounded Corners 53">
              <a:extLst>
                <a:ext uri="{FF2B5EF4-FFF2-40B4-BE49-F238E27FC236}">
                  <a16:creationId xmlns:a16="http://schemas.microsoft.com/office/drawing/2014/main" id="{AC4DA3B0-C268-29F0-8F6B-0BCCF65A853B}"/>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5" name="TextBox 54">
              <a:hlinkClick xmlns:r="http://schemas.openxmlformats.org/officeDocument/2006/relationships" r:id="rId28"/>
              <a:extLst>
                <a:ext uri="{FF2B5EF4-FFF2-40B4-BE49-F238E27FC236}">
                  <a16:creationId xmlns:a16="http://schemas.microsoft.com/office/drawing/2014/main" id="{7B7E302C-4AA7-9F0A-FB36-BFE9B93065B2}"/>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6" name="Oval 55">
              <a:extLst>
                <a:ext uri="{FF2B5EF4-FFF2-40B4-BE49-F238E27FC236}">
                  <a16:creationId xmlns:a16="http://schemas.microsoft.com/office/drawing/2014/main" id="{9867BE33-704F-109E-3313-74555EA5956C}"/>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7" name="TextBox 56">
              <a:hlinkClick xmlns:r="http://schemas.openxmlformats.org/officeDocument/2006/relationships" r:id="rId28"/>
              <a:extLst>
                <a:ext uri="{FF2B5EF4-FFF2-40B4-BE49-F238E27FC236}">
                  <a16:creationId xmlns:a16="http://schemas.microsoft.com/office/drawing/2014/main" id="{AB9C87A8-FE76-AF96-EC2E-ED1DA6E76A01}"/>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grpSp>
        <xdr:nvGrpSpPr>
          <xdr:cNvPr id="22" name="Group 21">
            <a:extLst>
              <a:ext uri="{FF2B5EF4-FFF2-40B4-BE49-F238E27FC236}">
                <a16:creationId xmlns:a16="http://schemas.microsoft.com/office/drawing/2014/main" id="{D4A88D40-9104-1B0F-2174-AB60FB9FC278}"/>
              </a:ext>
            </a:extLst>
          </xdr:cNvPr>
          <xdr:cNvGrpSpPr/>
        </xdr:nvGrpSpPr>
        <xdr:grpSpPr>
          <a:xfrm>
            <a:off x="0" y="6855676"/>
            <a:ext cx="1707169" cy="466551"/>
            <a:chOff x="0" y="6922179"/>
            <a:chExt cx="1725184" cy="482848"/>
          </a:xfrm>
        </xdr:grpSpPr>
        <xdr:sp macro="" textlink="">
          <xdr:nvSpPr>
            <xdr:cNvPr id="50" name="Rectangle: Rounded Corners 49">
              <a:extLst>
                <a:ext uri="{FF2B5EF4-FFF2-40B4-BE49-F238E27FC236}">
                  <a16:creationId xmlns:a16="http://schemas.microsoft.com/office/drawing/2014/main" id="{3BC8BCDB-F5EC-28A6-2D46-3F19622432B9}"/>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1" name="TextBox 50">
              <a:hlinkClick xmlns:r="http://schemas.openxmlformats.org/officeDocument/2006/relationships" r:id="rId19"/>
              <a:extLst>
                <a:ext uri="{FF2B5EF4-FFF2-40B4-BE49-F238E27FC236}">
                  <a16:creationId xmlns:a16="http://schemas.microsoft.com/office/drawing/2014/main" id="{00EF540D-F54A-D33A-78AB-2DE39A88D43D}"/>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2" name="Oval 51">
              <a:extLst>
                <a:ext uri="{FF2B5EF4-FFF2-40B4-BE49-F238E27FC236}">
                  <a16:creationId xmlns:a16="http://schemas.microsoft.com/office/drawing/2014/main" id="{8CF27B4E-D2CA-7E32-4D6E-5F69231A9AA2}"/>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3" name="TextBox 52">
              <a:hlinkClick xmlns:r="http://schemas.openxmlformats.org/officeDocument/2006/relationships" r:id="rId29"/>
              <a:extLst>
                <a:ext uri="{FF2B5EF4-FFF2-40B4-BE49-F238E27FC236}">
                  <a16:creationId xmlns:a16="http://schemas.microsoft.com/office/drawing/2014/main" id="{BA54D407-085C-E3FE-C981-3089A57BD6CB}"/>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grpSp>
        <xdr:nvGrpSpPr>
          <xdr:cNvPr id="23" name="Group 22">
            <a:extLst>
              <a:ext uri="{FF2B5EF4-FFF2-40B4-BE49-F238E27FC236}">
                <a16:creationId xmlns:a16="http://schemas.microsoft.com/office/drawing/2014/main" id="{5B0DF141-1BB7-3D6F-F5F5-76D8BC1E69BA}"/>
              </a:ext>
            </a:extLst>
          </xdr:cNvPr>
          <xdr:cNvGrpSpPr/>
        </xdr:nvGrpSpPr>
        <xdr:grpSpPr>
          <a:xfrm>
            <a:off x="5742" y="11650625"/>
            <a:ext cx="1706211" cy="469605"/>
            <a:chOff x="4477" y="11347997"/>
            <a:chExt cx="1725184" cy="480012"/>
          </a:xfrm>
        </xdr:grpSpPr>
        <xdr:sp macro="" textlink="">
          <xdr:nvSpPr>
            <xdr:cNvPr id="46" name="Rectangle: Rounded Corners 45">
              <a:extLst>
                <a:ext uri="{FF2B5EF4-FFF2-40B4-BE49-F238E27FC236}">
                  <a16:creationId xmlns:a16="http://schemas.microsoft.com/office/drawing/2014/main" id="{A627121C-4D95-F75B-5DFE-5830485B6AD6}"/>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7" name="TextBox 46">
              <a:hlinkClick xmlns:r="http://schemas.openxmlformats.org/officeDocument/2006/relationships" r:id="rId30"/>
              <a:extLst>
                <a:ext uri="{FF2B5EF4-FFF2-40B4-BE49-F238E27FC236}">
                  <a16:creationId xmlns:a16="http://schemas.microsoft.com/office/drawing/2014/main" id="{DB97504D-4AF4-5195-5D77-BFAC1A21362B}"/>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8" name="Oval 47">
              <a:extLst>
                <a:ext uri="{FF2B5EF4-FFF2-40B4-BE49-F238E27FC236}">
                  <a16:creationId xmlns:a16="http://schemas.microsoft.com/office/drawing/2014/main" id="{F0AB056D-D9B0-D19F-81BC-A6401E2D418A}"/>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9" name="TextBox 48">
              <a:hlinkClick xmlns:r="http://schemas.openxmlformats.org/officeDocument/2006/relationships" r:id="rId30"/>
              <a:extLst>
                <a:ext uri="{FF2B5EF4-FFF2-40B4-BE49-F238E27FC236}">
                  <a16:creationId xmlns:a16="http://schemas.microsoft.com/office/drawing/2014/main" id="{A836E763-D70C-D783-EB8A-3CBEB9089964}"/>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grpSp>
        <xdr:nvGrpSpPr>
          <xdr:cNvPr id="24" name="Group 23">
            <a:extLst>
              <a:ext uri="{FF2B5EF4-FFF2-40B4-BE49-F238E27FC236}">
                <a16:creationId xmlns:a16="http://schemas.microsoft.com/office/drawing/2014/main" id="{19B57376-1561-B27F-6571-CE24935E1A2D}"/>
              </a:ext>
            </a:extLst>
          </xdr:cNvPr>
          <xdr:cNvGrpSpPr/>
        </xdr:nvGrpSpPr>
        <xdr:grpSpPr>
          <a:xfrm>
            <a:off x="0" y="12132450"/>
            <a:ext cx="1713549" cy="2169819"/>
            <a:chOff x="5137727" y="13144500"/>
            <a:chExt cx="1713549" cy="2252946"/>
          </a:xfrm>
        </xdr:grpSpPr>
        <xdr:grpSp>
          <xdr:nvGrpSpPr>
            <xdr:cNvPr id="25" name="Group 24">
              <a:extLst>
                <a:ext uri="{FF2B5EF4-FFF2-40B4-BE49-F238E27FC236}">
                  <a16:creationId xmlns:a16="http://schemas.microsoft.com/office/drawing/2014/main" id="{FAC7D9E4-3677-5559-B243-870FB6F141BF}"/>
                </a:ext>
              </a:extLst>
            </xdr:cNvPr>
            <xdr:cNvGrpSpPr/>
          </xdr:nvGrpSpPr>
          <xdr:grpSpPr>
            <a:xfrm>
              <a:off x="5144107" y="13624532"/>
              <a:ext cx="1707169" cy="465099"/>
              <a:chOff x="3415" y="11846315"/>
              <a:chExt cx="1725184" cy="456487"/>
            </a:xfrm>
          </xdr:grpSpPr>
          <xdr:sp macro="" textlink="">
            <xdr:nvSpPr>
              <xdr:cNvPr id="42" name="Rectangle: Rounded Corners 41">
                <a:extLst>
                  <a:ext uri="{FF2B5EF4-FFF2-40B4-BE49-F238E27FC236}">
                    <a16:creationId xmlns:a16="http://schemas.microsoft.com/office/drawing/2014/main" id="{1DCF19D1-621A-ECB9-FC21-01FD56078935}"/>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3" name="TextBox 42">
                <a:hlinkClick xmlns:r="http://schemas.openxmlformats.org/officeDocument/2006/relationships" r:id="rId26"/>
                <a:extLst>
                  <a:ext uri="{FF2B5EF4-FFF2-40B4-BE49-F238E27FC236}">
                    <a16:creationId xmlns:a16="http://schemas.microsoft.com/office/drawing/2014/main" id="{6EFC6F44-3858-EDC2-0C0B-0247C6F9D62C}"/>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4" name="Oval 43">
                <a:extLst>
                  <a:ext uri="{FF2B5EF4-FFF2-40B4-BE49-F238E27FC236}">
                    <a16:creationId xmlns:a16="http://schemas.microsoft.com/office/drawing/2014/main" id="{F9D53F3F-B5A9-A7FD-4E37-F5B61E070E53}"/>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5" name="TextBox 44">
                <a:hlinkClick xmlns:r="http://schemas.openxmlformats.org/officeDocument/2006/relationships" r:id="rId31"/>
                <a:extLst>
                  <a:ext uri="{FF2B5EF4-FFF2-40B4-BE49-F238E27FC236}">
                    <a16:creationId xmlns:a16="http://schemas.microsoft.com/office/drawing/2014/main" id="{72A1FF49-EFF4-4596-66B2-A51872A60D95}"/>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ICOP</a:t>
                </a:r>
                <a:r>
                  <a:rPr lang="en-US" sz="1200" baseline="0">
                    <a:solidFill>
                      <a:srgbClr val="600000"/>
                    </a:solidFill>
                  </a:rPr>
                  <a:t> Road Transport</a:t>
                </a:r>
                <a:endParaRPr lang="en-US" sz="1200">
                  <a:solidFill>
                    <a:srgbClr val="600000"/>
                  </a:solidFill>
                </a:endParaRPr>
              </a:p>
            </xdr:txBody>
          </xdr:sp>
        </xdr:grpSp>
        <xdr:grpSp>
          <xdr:nvGrpSpPr>
            <xdr:cNvPr id="26" name="Group 25">
              <a:extLst>
                <a:ext uri="{FF2B5EF4-FFF2-40B4-BE49-F238E27FC236}">
                  <a16:creationId xmlns:a16="http://schemas.microsoft.com/office/drawing/2014/main" id="{38E43771-0BDA-661C-23DB-088B823091DC}"/>
                </a:ext>
              </a:extLst>
            </xdr:cNvPr>
            <xdr:cNvGrpSpPr/>
          </xdr:nvGrpSpPr>
          <xdr:grpSpPr>
            <a:xfrm>
              <a:off x="5141639" y="14111307"/>
              <a:ext cx="1707169" cy="494728"/>
              <a:chOff x="847" y="12324893"/>
              <a:chExt cx="1725184" cy="486884"/>
            </a:xfrm>
          </xdr:grpSpPr>
          <xdr:sp macro="" textlink="">
            <xdr:nvSpPr>
              <xdr:cNvPr id="38" name="Rectangle: Rounded Corners 37">
                <a:extLst>
                  <a:ext uri="{FF2B5EF4-FFF2-40B4-BE49-F238E27FC236}">
                    <a16:creationId xmlns:a16="http://schemas.microsoft.com/office/drawing/2014/main" id="{1CB5DAFF-B138-176C-9F31-89496EE398E8}"/>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9" name="TextBox 38">
                <a:hlinkClick xmlns:r="http://schemas.openxmlformats.org/officeDocument/2006/relationships" r:id="rId32"/>
                <a:extLst>
                  <a:ext uri="{FF2B5EF4-FFF2-40B4-BE49-F238E27FC236}">
                    <a16:creationId xmlns:a16="http://schemas.microsoft.com/office/drawing/2014/main" id="{515A5679-B690-2056-47F8-5E3FEB79F996}"/>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0" name="Oval 39">
                <a:extLst>
                  <a:ext uri="{FF2B5EF4-FFF2-40B4-BE49-F238E27FC236}">
                    <a16:creationId xmlns:a16="http://schemas.microsoft.com/office/drawing/2014/main" id="{19E9B16D-4148-2F99-0D5C-B93175579C5F}"/>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1" name="TextBox 40">
                <a:hlinkClick xmlns:r="http://schemas.openxmlformats.org/officeDocument/2006/relationships" r:id="rId32"/>
                <a:extLst>
                  <a:ext uri="{FF2B5EF4-FFF2-40B4-BE49-F238E27FC236}">
                    <a16:creationId xmlns:a16="http://schemas.microsoft.com/office/drawing/2014/main" id="{BB1E9024-88D0-D89D-45ED-C2F126C110BA}"/>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sp macro="" textlink="">
          <xdr:nvSpPr>
            <xdr:cNvPr id="27" name="TextBox 26">
              <a:extLst>
                <a:ext uri="{FF2B5EF4-FFF2-40B4-BE49-F238E27FC236}">
                  <a16:creationId xmlns:a16="http://schemas.microsoft.com/office/drawing/2014/main" id="{33AEB2B9-60FA-9EBF-93DA-984415BF255B}"/>
                </a:ext>
              </a:extLst>
            </xdr:cNvPr>
            <xdr:cNvSpPr txBox="1"/>
          </xdr:nvSpPr>
          <xdr:spPr>
            <a:xfrm>
              <a:off x="5210951" y="15199776"/>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grpSp>
          <xdr:nvGrpSpPr>
            <xdr:cNvPr id="28" name="Group 27">
              <a:extLst>
                <a:ext uri="{FF2B5EF4-FFF2-40B4-BE49-F238E27FC236}">
                  <a16:creationId xmlns:a16="http://schemas.microsoft.com/office/drawing/2014/main" id="{942854F1-0A61-BE5F-942A-BE30089E8067}"/>
                </a:ext>
              </a:extLst>
            </xdr:cNvPr>
            <xdr:cNvGrpSpPr/>
          </xdr:nvGrpSpPr>
          <xdr:grpSpPr>
            <a:xfrm>
              <a:off x="5138008" y="14617043"/>
              <a:ext cx="1708983" cy="494290"/>
              <a:chOff x="847" y="12324893"/>
              <a:chExt cx="1725184" cy="486884"/>
            </a:xfrm>
          </xdr:grpSpPr>
          <xdr:sp macro="" textlink="">
            <xdr:nvSpPr>
              <xdr:cNvPr id="34" name="Rectangle: Rounded Corners 33">
                <a:extLst>
                  <a:ext uri="{FF2B5EF4-FFF2-40B4-BE49-F238E27FC236}">
                    <a16:creationId xmlns:a16="http://schemas.microsoft.com/office/drawing/2014/main" id="{577D06FC-A634-7357-C5B3-25FD9C7D0D91}"/>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5" name="TextBox 34">
                <a:hlinkClick xmlns:r="http://schemas.openxmlformats.org/officeDocument/2006/relationships" r:id="rId33"/>
                <a:extLst>
                  <a:ext uri="{FF2B5EF4-FFF2-40B4-BE49-F238E27FC236}">
                    <a16:creationId xmlns:a16="http://schemas.microsoft.com/office/drawing/2014/main" id="{8959F491-E942-0C35-7D58-D4E2F30E6DDD}"/>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36" name="Oval 35">
                <a:extLst>
                  <a:ext uri="{FF2B5EF4-FFF2-40B4-BE49-F238E27FC236}">
                    <a16:creationId xmlns:a16="http://schemas.microsoft.com/office/drawing/2014/main" id="{3908E9DB-39D1-E131-A75E-77429EED26C5}"/>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7" name="TextBox 36">
                <a:hlinkClick xmlns:r="http://schemas.openxmlformats.org/officeDocument/2006/relationships" r:id="rId33"/>
                <a:extLst>
                  <a:ext uri="{FF2B5EF4-FFF2-40B4-BE49-F238E27FC236}">
                    <a16:creationId xmlns:a16="http://schemas.microsoft.com/office/drawing/2014/main" id="{72135450-A797-BAE6-F712-101274F014AD}"/>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grpSp>
          <xdr:nvGrpSpPr>
            <xdr:cNvPr id="29" name="Group 28">
              <a:extLst>
                <a:ext uri="{FF2B5EF4-FFF2-40B4-BE49-F238E27FC236}">
                  <a16:creationId xmlns:a16="http://schemas.microsoft.com/office/drawing/2014/main" id="{AEF79A3D-817F-F116-CEDE-65DC832A9A5A}"/>
                </a:ext>
              </a:extLst>
            </xdr:cNvPr>
            <xdr:cNvGrpSpPr/>
          </xdr:nvGrpSpPr>
          <xdr:grpSpPr>
            <a:xfrm>
              <a:off x="5137727" y="13144500"/>
              <a:ext cx="1707169" cy="464661"/>
              <a:chOff x="3415" y="11846315"/>
              <a:chExt cx="1725184" cy="456487"/>
            </a:xfrm>
          </xdr:grpSpPr>
          <xdr:sp macro="" textlink="">
            <xdr:nvSpPr>
              <xdr:cNvPr id="30" name="Rectangle: Rounded Corners 29">
                <a:hlinkClick xmlns:r="http://schemas.openxmlformats.org/officeDocument/2006/relationships" r:id="rId34"/>
                <a:extLst>
                  <a:ext uri="{FF2B5EF4-FFF2-40B4-BE49-F238E27FC236}">
                    <a16:creationId xmlns:a16="http://schemas.microsoft.com/office/drawing/2014/main" id="{96FDA298-6752-67E4-88EF-E56C019B8D52}"/>
                  </a:ext>
                </a:extLst>
              </xdr:cNvPr>
              <xdr:cNvSpPr/>
            </xdr:nvSpPr>
            <xdr:spPr>
              <a:xfrm>
                <a:off x="3415" y="11852523"/>
                <a:ext cx="1709047" cy="450098"/>
              </a:xfrm>
              <a:prstGeom prst="roundRect">
                <a:avLst>
                  <a:gd name="adj" fmla="val 6708"/>
                </a:avLst>
              </a:prstGeom>
              <a:solidFill>
                <a:srgbClr val="6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1" name="TextBox 30">
                <a:hlinkClick xmlns:r="http://schemas.openxmlformats.org/officeDocument/2006/relationships" r:id="rId34"/>
                <a:extLst>
                  <a:ext uri="{FF2B5EF4-FFF2-40B4-BE49-F238E27FC236}">
                    <a16:creationId xmlns:a16="http://schemas.microsoft.com/office/drawing/2014/main" id="{19D072B2-48B8-7C78-E553-D5A29A4A9653}"/>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32" name="Oval 31">
                <a:hlinkClick xmlns:r="http://schemas.openxmlformats.org/officeDocument/2006/relationships" r:id="rId34"/>
                <a:extLst>
                  <a:ext uri="{FF2B5EF4-FFF2-40B4-BE49-F238E27FC236}">
                    <a16:creationId xmlns:a16="http://schemas.microsoft.com/office/drawing/2014/main" id="{E1486623-FA01-E0FC-64E9-DA7B0561C1BD}"/>
                  </a:ext>
                </a:extLst>
              </xdr:cNvPr>
              <xdr:cNvSpPr/>
            </xdr:nvSpPr>
            <xdr:spPr>
              <a:xfrm>
                <a:off x="98001" y="11929995"/>
                <a:ext cx="286142" cy="294355"/>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3" name="TextBox 32">
                <a:hlinkClick xmlns:r="http://schemas.openxmlformats.org/officeDocument/2006/relationships" r:id="rId34"/>
                <a:extLst>
                  <a:ext uri="{FF2B5EF4-FFF2-40B4-BE49-F238E27FC236}">
                    <a16:creationId xmlns:a16="http://schemas.microsoft.com/office/drawing/2014/main" id="{36FF2010-7F15-0C40-4292-199591652BF8}"/>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UBBL</a:t>
                </a:r>
              </a:p>
            </xdr:txBody>
          </xdr:sp>
        </xdr:grpSp>
      </xdr:grpSp>
    </xdr:grp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1</xdr:rowOff>
    </xdr:from>
    <xdr:to>
      <xdr:col>0</xdr:col>
      <xdr:colOff>1841776</xdr:colOff>
      <xdr:row>30</xdr:row>
      <xdr:rowOff>70069</xdr:rowOff>
    </xdr:to>
    <xdr:sp macro="" textlink="">
      <xdr:nvSpPr>
        <xdr:cNvPr id="3" name="Rectangle: Rounded Corners 2">
          <a:extLst>
            <a:ext uri="{FF2B5EF4-FFF2-40B4-BE49-F238E27FC236}">
              <a16:creationId xmlns:a16="http://schemas.microsoft.com/office/drawing/2014/main" id="{76E7FF4D-7AE7-7E09-2E86-4CC3DE714BF3}"/>
            </a:ext>
          </a:extLst>
        </xdr:cNvPr>
        <xdr:cNvSpPr/>
      </xdr:nvSpPr>
      <xdr:spPr>
        <a:xfrm>
          <a:off x="0" y="1"/>
          <a:ext cx="1841776" cy="14819585"/>
        </a:xfrm>
        <a:prstGeom prst="roundRect">
          <a:avLst>
            <a:gd name="adj" fmla="val 6708"/>
          </a:avLst>
        </a:prstGeom>
        <a:gradFill flip="none" rotWithShape="1">
          <a:gsLst>
            <a:gs pos="0">
              <a:schemeClr val="accent1">
                <a:lumMod val="89000"/>
              </a:schemeClr>
            </a:gs>
            <a:gs pos="23000">
              <a:schemeClr val="accent1">
                <a:lumMod val="89000"/>
              </a:schemeClr>
            </a:gs>
            <a:gs pos="69000">
              <a:schemeClr val="accent1">
                <a:lumMod val="75000"/>
              </a:schemeClr>
            </a:gs>
            <a:gs pos="97000">
              <a:schemeClr val="accent1">
                <a:lumMod val="70000"/>
              </a:schemeClr>
            </a:gs>
          </a:gsLst>
          <a:path path="circle">
            <a:fillToRect l="50000" t="50000" r="50000" b="50000"/>
          </a:path>
          <a:tileRect/>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11239</xdr:colOff>
      <xdr:row>2</xdr:row>
      <xdr:rowOff>265222</xdr:rowOff>
    </xdr:from>
    <xdr:to>
      <xdr:col>0</xdr:col>
      <xdr:colOff>1716134</xdr:colOff>
      <xdr:row>3</xdr:row>
      <xdr:rowOff>341905</xdr:rowOff>
    </xdr:to>
    <xdr:grpSp>
      <xdr:nvGrpSpPr>
        <xdr:cNvPr id="4" name="Group 3">
          <a:extLst>
            <a:ext uri="{FF2B5EF4-FFF2-40B4-BE49-F238E27FC236}">
              <a16:creationId xmlns:a16="http://schemas.microsoft.com/office/drawing/2014/main" id="{7D2BADC5-B7AD-C93B-2AE3-9B2AE9A789D8}"/>
            </a:ext>
          </a:extLst>
        </xdr:cNvPr>
        <xdr:cNvGrpSpPr/>
      </xdr:nvGrpSpPr>
      <xdr:grpSpPr>
        <a:xfrm>
          <a:off x="11239" y="650758"/>
          <a:ext cx="1704895" cy="454659"/>
          <a:chOff x="17891" y="510932"/>
          <a:chExt cx="1724265" cy="444500"/>
        </a:xfrm>
      </xdr:grpSpPr>
      <xdr:sp macro="" textlink="">
        <xdr:nvSpPr>
          <xdr:cNvPr id="134" name="Rectangle: Rounded Corners 133">
            <a:extLst>
              <a:ext uri="{FF2B5EF4-FFF2-40B4-BE49-F238E27FC236}">
                <a16:creationId xmlns:a16="http://schemas.microsoft.com/office/drawing/2014/main" id="{A26EE310-FB15-BF04-F4C0-72A8B56AEB4F}"/>
              </a:ext>
            </a:extLst>
          </xdr:cNvPr>
          <xdr:cNvSpPr/>
        </xdr:nvSpPr>
        <xdr:spPr>
          <a:xfrm>
            <a:off x="17891" y="510932"/>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5" name="TextBox 134">
            <a:hlinkClick xmlns:r="http://schemas.openxmlformats.org/officeDocument/2006/relationships" r:id="rId1"/>
            <a:extLst>
              <a:ext uri="{FF2B5EF4-FFF2-40B4-BE49-F238E27FC236}">
                <a16:creationId xmlns:a16="http://schemas.microsoft.com/office/drawing/2014/main" id="{CF232F5C-5E02-8F79-6606-AE88AF6A57F7}"/>
              </a:ext>
            </a:extLst>
          </xdr:cNvPr>
          <xdr:cNvSpPr txBox="1"/>
        </xdr:nvSpPr>
        <xdr:spPr>
          <a:xfrm>
            <a:off x="27656" y="571017"/>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002060"/>
                </a:solidFill>
                <a:sym typeface="Webdings" panose="05030102010509060703" pitchFamily="18" charset="2"/>
              </a:rPr>
              <a:t>OSHA             </a:t>
            </a:r>
            <a:endParaRPr lang="en-US" sz="1600">
              <a:solidFill>
                <a:srgbClr val="002060"/>
              </a:solidFill>
            </a:endParaRPr>
          </a:p>
        </xdr:txBody>
      </xdr:sp>
      <xdr:sp macro="" textlink="">
        <xdr:nvSpPr>
          <xdr:cNvPr id="136" name="Oval 135">
            <a:extLst>
              <a:ext uri="{FF2B5EF4-FFF2-40B4-BE49-F238E27FC236}">
                <a16:creationId xmlns:a16="http://schemas.microsoft.com/office/drawing/2014/main" id="{406B4A94-0E30-7A2B-94F9-6A3EFA31B169}"/>
              </a:ext>
            </a:extLst>
          </xdr:cNvPr>
          <xdr:cNvSpPr/>
        </xdr:nvSpPr>
        <xdr:spPr>
          <a:xfrm>
            <a:off x="112347" y="581575"/>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643860</xdr:colOff>
      <xdr:row>0</xdr:row>
      <xdr:rowOff>0</xdr:rowOff>
    </xdr:from>
    <xdr:to>
      <xdr:col>0</xdr:col>
      <xdr:colOff>1047162</xdr:colOff>
      <xdr:row>2</xdr:row>
      <xdr:rowOff>21654</xdr:rowOff>
    </xdr:to>
    <xdr:pic>
      <xdr:nvPicPr>
        <xdr:cNvPr id="5" name="Graphic 4" descr="Home with solid fill">
          <a:hlinkClick xmlns:r="http://schemas.openxmlformats.org/officeDocument/2006/relationships" r:id="rId2"/>
          <a:extLst>
            <a:ext uri="{FF2B5EF4-FFF2-40B4-BE49-F238E27FC236}">
              <a16:creationId xmlns:a16="http://schemas.microsoft.com/office/drawing/2014/main" id="{4CD385FC-DCB2-EBA5-4C71-33D1494DB16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643860" y="0"/>
          <a:ext cx="403302" cy="409004"/>
        </a:xfrm>
        <a:prstGeom prst="rect">
          <a:avLst/>
        </a:prstGeom>
      </xdr:spPr>
    </xdr:pic>
    <xdr:clientData/>
  </xdr:twoCellAnchor>
  <xdr:twoCellAnchor>
    <xdr:from>
      <xdr:col>0</xdr:col>
      <xdr:colOff>10917</xdr:colOff>
      <xdr:row>3</xdr:row>
      <xdr:rowOff>365622</xdr:rowOff>
    </xdr:from>
    <xdr:to>
      <xdr:col>0</xdr:col>
      <xdr:colOff>1715812</xdr:colOff>
      <xdr:row>4</xdr:row>
      <xdr:rowOff>69124</xdr:rowOff>
    </xdr:to>
    <xdr:grpSp>
      <xdr:nvGrpSpPr>
        <xdr:cNvPr id="6" name="Group 5">
          <a:extLst>
            <a:ext uri="{FF2B5EF4-FFF2-40B4-BE49-F238E27FC236}">
              <a16:creationId xmlns:a16="http://schemas.microsoft.com/office/drawing/2014/main" id="{18AB2AC7-1816-A9CD-6260-00F42BF049C2}"/>
            </a:ext>
          </a:extLst>
        </xdr:cNvPr>
        <xdr:cNvGrpSpPr/>
      </xdr:nvGrpSpPr>
      <xdr:grpSpPr>
        <a:xfrm>
          <a:off x="10917" y="1129134"/>
          <a:ext cx="1704895" cy="444335"/>
          <a:chOff x="23753" y="989136"/>
          <a:chExt cx="1724265" cy="444500"/>
        </a:xfrm>
      </xdr:grpSpPr>
      <xdr:sp macro="" textlink="">
        <xdr:nvSpPr>
          <xdr:cNvPr id="131" name="Rectangle: Rounded Corners 130">
            <a:extLst>
              <a:ext uri="{FF2B5EF4-FFF2-40B4-BE49-F238E27FC236}">
                <a16:creationId xmlns:a16="http://schemas.microsoft.com/office/drawing/2014/main" id="{CF7E79B4-082C-1EED-EEEB-63D312DF0E87}"/>
              </a:ext>
            </a:extLst>
          </xdr:cNvPr>
          <xdr:cNvSpPr/>
        </xdr:nvSpPr>
        <xdr:spPr>
          <a:xfrm>
            <a:off x="23753" y="989136"/>
            <a:ext cx="1708150" cy="4445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32" name="TextBox 131">
            <a:hlinkClick xmlns:r="http://schemas.openxmlformats.org/officeDocument/2006/relationships" r:id="rId5"/>
            <a:extLst>
              <a:ext uri="{FF2B5EF4-FFF2-40B4-BE49-F238E27FC236}">
                <a16:creationId xmlns:a16="http://schemas.microsoft.com/office/drawing/2014/main" id="{B4678E9A-6BDC-DC10-C28D-DFA5B09EAEC9}"/>
              </a:ext>
            </a:extLst>
          </xdr:cNvPr>
          <xdr:cNvSpPr txBox="1"/>
        </xdr:nvSpPr>
        <xdr:spPr>
          <a:xfrm>
            <a:off x="33518" y="1055571"/>
            <a:ext cx="1714500" cy="3228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EQA                </a:t>
            </a:r>
            <a:endParaRPr lang="en-US" sz="1600">
              <a:solidFill>
                <a:schemeClr val="tx2">
                  <a:lumMod val="90000"/>
                  <a:lumOff val="10000"/>
                </a:schemeClr>
              </a:solidFill>
            </a:endParaRPr>
          </a:p>
        </xdr:txBody>
      </xdr:sp>
      <xdr:sp macro="" textlink="">
        <xdr:nvSpPr>
          <xdr:cNvPr id="133" name="Oval 132">
            <a:extLst>
              <a:ext uri="{FF2B5EF4-FFF2-40B4-BE49-F238E27FC236}">
                <a16:creationId xmlns:a16="http://schemas.microsoft.com/office/drawing/2014/main" id="{87DA1362-D90A-153A-DA0A-F247748E6108}"/>
              </a:ext>
            </a:extLst>
          </xdr:cNvPr>
          <xdr:cNvSpPr/>
        </xdr:nvSpPr>
        <xdr:spPr>
          <a:xfrm>
            <a:off x="118209" y="1066129"/>
            <a:ext cx="285750" cy="28971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13063</xdr:colOff>
      <xdr:row>4</xdr:row>
      <xdr:rowOff>598989</xdr:rowOff>
    </xdr:from>
    <xdr:to>
      <xdr:col>0</xdr:col>
      <xdr:colOff>1717958</xdr:colOff>
      <xdr:row>5</xdr:row>
      <xdr:rowOff>126051</xdr:rowOff>
    </xdr:to>
    <xdr:grpSp>
      <xdr:nvGrpSpPr>
        <xdr:cNvPr id="7" name="Group 6">
          <a:extLst>
            <a:ext uri="{FF2B5EF4-FFF2-40B4-BE49-F238E27FC236}">
              <a16:creationId xmlns:a16="http://schemas.microsoft.com/office/drawing/2014/main" id="{E135BC32-DF07-9419-D483-D0CA861C3D69}"/>
            </a:ext>
          </a:extLst>
        </xdr:cNvPr>
        <xdr:cNvGrpSpPr/>
      </xdr:nvGrpSpPr>
      <xdr:grpSpPr>
        <a:xfrm>
          <a:off x="13063" y="2103334"/>
          <a:ext cx="1704895" cy="449324"/>
          <a:chOff x="13593" y="1983238"/>
          <a:chExt cx="1722818" cy="443309"/>
        </a:xfrm>
      </xdr:grpSpPr>
      <xdr:sp macro="" textlink="">
        <xdr:nvSpPr>
          <xdr:cNvPr id="128" name="Rectangle: Rounded Corners 127">
            <a:extLst>
              <a:ext uri="{FF2B5EF4-FFF2-40B4-BE49-F238E27FC236}">
                <a16:creationId xmlns:a16="http://schemas.microsoft.com/office/drawing/2014/main" id="{28ECC957-289B-C190-2C63-C55DB5F7FB45}"/>
              </a:ext>
            </a:extLst>
          </xdr:cNvPr>
          <xdr:cNvSpPr/>
        </xdr:nvSpPr>
        <xdr:spPr>
          <a:xfrm>
            <a:off x="13593" y="1983238"/>
            <a:ext cx="1706703" cy="44330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9" name="TextBox 128">
            <a:hlinkClick xmlns:r="http://schemas.openxmlformats.org/officeDocument/2006/relationships" r:id="rId6"/>
            <a:extLst>
              <a:ext uri="{FF2B5EF4-FFF2-40B4-BE49-F238E27FC236}">
                <a16:creationId xmlns:a16="http://schemas.microsoft.com/office/drawing/2014/main" id="{CC4CC6BD-87D8-6FF8-60A5-4A537D6CEA43}"/>
              </a:ext>
            </a:extLst>
          </xdr:cNvPr>
          <xdr:cNvSpPr txBox="1"/>
        </xdr:nvSpPr>
        <xdr:spPr>
          <a:xfrm>
            <a:off x="23358" y="2050397"/>
            <a:ext cx="1713053" cy="3202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FSA                 </a:t>
            </a:r>
            <a:endParaRPr lang="en-US" sz="1600">
              <a:solidFill>
                <a:schemeClr val="tx2">
                  <a:lumMod val="90000"/>
                  <a:lumOff val="10000"/>
                </a:schemeClr>
              </a:solidFill>
            </a:endParaRPr>
          </a:p>
        </xdr:txBody>
      </xdr:sp>
      <xdr:sp macro="" textlink="">
        <xdr:nvSpPr>
          <xdr:cNvPr id="130" name="Oval 129">
            <a:extLst>
              <a:ext uri="{FF2B5EF4-FFF2-40B4-BE49-F238E27FC236}">
                <a16:creationId xmlns:a16="http://schemas.microsoft.com/office/drawing/2014/main" id="{C8B7B2A2-F7BB-DB55-E75D-2F03A357F61B}"/>
              </a:ext>
            </a:extLst>
          </xdr:cNvPr>
          <xdr:cNvSpPr/>
        </xdr:nvSpPr>
        <xdr:spPr>
          <a:xfrm>
            <a:off x="108049" y="2060955"/>
            <a:ext cx="285750" cy="287080"/>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12799</xdr:colOff>
      <xdr:row>5</xdr:row>
      <xdr:rowOff>147702</xdr:rowOff>
    </xdr:from>
    <xdr:to>
      <xdr:col>0</xdr:col>
      <xdr:colOff>1715516</xdr:colOff>
      <xdr:row>5</xdr:row>
      <xdr:rowOff>593677</xdr:rowOff>
    </xdr:to>
    <xdr:grpSp>
      <xdr:nvGrpSpPr>
        <xdr:cNvPr id="8" name="Group 7">
          <a:extLst>
            <a:ext uri="{FF2B5EF4-FFF2-40B4-BE49-F238E27FC236}">
              <a16:creationId xmlns:a16="http://schemas.microsoft.com/office/drawing/2014/main" id="{C50A8B2C-9928-25D8-C98E-0CD11FEFE6AB}"/>
            </a:ext>
          </a:extLst>
        </xdr:cNvPr>
        <xdr:cNvGrpSpPr/>
      </xdr:nvGrpSpPr>
      <xdr:grpSpPr>
        <a:xfrm>
          <a:off x="12799" y="2574309"/>
          <a:ext cx="1702717" cy="445975"/>
          <a:chOff x="13317" y="2459028"/>
          <a:chExt cx="1720554" cy="441552"/>
        </a:xfrm>
      </xdr:grpSpPr>
      <xdr:sp macro="" textlink="">
        <xdr:nvSpPr>
          <xdr:cNvPr id="125" name="Rectangle: Rounded Corners 124">
            <a:extLst>
              <a:ext uri="{FF2B5EF4-FFF2-40B4-BE49-F238E27FC236}">
                <a16:creationId xmlns:a16="http://schemas.microsoft.com/office/drawing/2014/main" id="{1CD88E28-BE87-1D7E-4C17-2719E7039409}"/>
              </a:ext>
            </a:extLst>
          </xdr:cNvPr>
          <xdr:cNvSpPr/>
        </xdr:nvSpPr>
        <xdr:spPr>
          <a:xfrm>
            <a:off x="13317" y="2459028"/>
            <a:ext cx="1706703" cy="441552"/>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6" name="TextBox 125">
            <a:hlinkClick xmlns:r="http://schemas.openxmlformats.org/officeDocument/2006/relationships" r:id="rId7"/>
            <a:extLst>
              <a:ext uri="{FF2B5EF4-FFF2-40B4-BE49-F238E27FC236}">
                <a16:creationId xmlns:a16="http://schemas.microsoft.com/office/drawing/2014/main" id="{6286C0B5-6A3F-CEB7-15B1-9C755D746677}"/>
              </a:ext>
            </a:extLst>
          </xdr:cNvPr>
          <xdr:cNvSpPr txBox="1"/>
        </xdr:nvSpPr>
        <xdr:spPr>
          <a:xfrm>
            <a:off x="20818" y="2504653"/>
            <a:ext cx="1713053" cy="357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WSIA              </a:t>
            </a:r>
            <a:endParaRPr lang="en-US" sz="1600">
              <a:solidFill>
                <a:schemeClr val="tx2">
                  <a:lumMod val="90000"/>
                  <a:lumOff val="10000"/>
                </a:schemeClr>
              </a:solidFill>
            </a:endParaRPr>
          </a:p>
        </xdr:txBody>
      </xdr:sp>
      <xdr:sp macro="" textlink="">
        <xdr:nvSpPr>
          <xdr:cNvPr id="127" name="Oval 126">
            <a:extLst>
              <a:ext uri="{FF2B5EF4-FFF2-40B4-BE49-F238E27FC236}">
                <a16:creationId xmlns:a16="http://schemas.microsoft.com/office/drawing/2014/main" id="{04CD04C4-B18D-1D31-6A23-1BA5763255C6}"/>
              </a:ext>
            </a:extLst>
          </xdr:cNvPr>
          <xdr:cNvSpPr/>
        </xdr:nvSpPr>
        <xdr:spPr>
          <a:xfrm>
            <a:off x="107774" y="2542658"/>
            <a:ext cx="285750" cy="27787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8181</xdr:colOff>
      <xdr:row>5</xdr:row>
      <xdr:rowOff>607956</xdr:rowOff>
    </xdr:from>
    <xdr:to>
      <xdr:col>0</xdr:col>
      <xdr:colOff>1713076</xdr:colOff>
      <xdr:row>6</xdr:row>
      <xdr:rowOff>330202</xdr:rowOff>
    </xdr:to>
    <xdr:grpSp>
      <xdr:nvGrpSpPr>
        <xdr:cNvPr id="9" name="Group 8">
          <a:extLst>
            <a:ext uri="{FF2B5EF4-FFF2-40B4-BE49-F238E27FC236}">
              <a16:creationId xmlns:a16="http://schemas.microsoft.com/office/drawing/2014/main" id="{1CDF4385-2BBB-E369-D4B8-C2D4148ACF4F}"/>
            </a:ext>
          </a:extLst>
        </xdr:cNvPr>
        <xdr:cNvGrpSpPr/>
      </xdr:nvGrpSpPr>
      <xdr:grpSpPr>
        <a:xfrm>
          <a:off x="8181" y="3034563"/>
          <a:ext cx="1704895" cy="455520"/>
          <a:chOff x="8513" y="2976867"/>
          <a:chExt cx="1722818" cy="451725"/>
        </a:xfrm>
      </xdr:grpSpPr>
      <xdr:sp macro="" textlink="">
        <xdr:nvSpPr>
          <xdr:cNvPr id="121" name="Rectangle: Rounded Corners 120">
            <a:extLst>
              <a:ext uri="{FF2B5EF4-FFF2-40B4-BE49-F238E27FC236}">
                <a16:creationId xmlns:a16="http://schemas.microsoft.com/office/drawing/2014/main" id="{C28BED3B-10E2-42AE-40B5-C2F96AF1A086}"/>
              </a:ext>
            </a:extLst>
          </xdr:cNvPr>
          <xdr:cNvSpPr/>
        </xdr:nvSpPr>
        <xdr:spPr>
          <a:xfrm>
            <a:off x="8513" y="2983010"/>
            <a:ext cx="1706703" cy="44540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22" name="TextBox 121">
            <a:hlinkClick xmlns:r="http://schemas.openxmlformats.org/officeDocument/2006/relationships" r:id="rId7"/>
            <a:extLst>
              <a:ext uri="{FF2B5EF4-FFF2-40B4-BE49-F238E27FC236}">
                <a16:creationId xmlns:a16="http://schemas.microsoft.com/office/drawing/2014/main" id="{A20A04DB-8932-C0CF-A0C5-992EC9ED79F5}"/>
              </a:ext>
            </a:extLst>
          </xdr:cNvPr>
          <xdr:cNvSpPr txBox="1"/>
        </xdr:nvSpPr>
        <xdr:spPr>
          <a:xfrm>
            <a:off x="18278" y="3049159"/>
            <a:ext cx="1713053" cy="3243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23" name="Oval 122">
            <a:extLst>
              <a:ext uri="{FF2B5EF4-FFF2-40B4-BE49-F238E27FC236}">
                <a16:creationId xmlns:a16="http://schemas.microsoft.com/office/drawing/2014/main" id="{E6975D81-C614-66C7-D052-AE99CFC0DE49}"/>
              </a:ext>
            </a:extLst>
          </xdr:cNvPr>
          <xdr:cNvSpPr/>
        </xdr:nvSpPr>
        <xdr:spPr>
          <a:xfrm>
            <a:off x="102969" y="3059671"/>
            <a:ext cx="285750" cy="291289"/>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24" name="TextBox 123">
            <a:hlinkClick xmlns:r="http://schemas.openxmlformats.org/officeDocument/2006/relationships" r:id="rId8"/>
            <a:extLst>
              <a:ext uri="{FF2B5EF4-FFF2-40B4-BE49-F238E27FC236}">
                <a16:creationId xmlns:a16="http://schemas.microsoft.com/office/drawing/2014/main" id="{9A9348E9-1E37-2FAE-9473-7ADC696B41F2}"/>
              </a:ext>
            </a:extLst>
          </xdr:cNvPr>
          <xdr:cNvSpPr txBox="1"/>
        </xdr:nvSpPr>
        <xdr:spPr>
          <a:xfrm>
            <a:off x="454771" y="2976867"/>
            <a:ext cx="930733" cy="4517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Sewerage Services</a:t>
            </a:r>
          </a:p>
        </xdr:txBody>
      </xdr:sp>
    </xdr:grpSp>
    <xdr:clientData/>
  </xdr:twoCellAnchor>
  <xdr:twoCellAnchor>
    <xdr:from>
      <xdr:col>0</xdr:col>
      <xdr:colOff>11772</xdr:colOff>
      <xdr:row>4</xdr:row>
      <xdr:rowOff>91425</xdr:rowOff>
    </xdr:from>
    <xdr:to>
      <xdr:col>0</xdr:col>
      <xdr:colOff>1716667</xdr:colOff>
      <xdr:row>4</xdr:row>
      <xdr:rowOff>578364</xdr:rowOff>
    </xdr:to>
    <xdr:grpSp>
      <xdr:nvGrpSpPr>
        <xdr:cNvPr id="10" name="Group 9">
          <a:extLst>
            <a:ext uri="{FF2B5EF4-FFF2-40B4-BE49-F238E27FC236}">
              <a16:creationId xmlns:a16="http://schemas.microsoft.com/office/drawing/2014/main" id="{8949FC44-D15A-1DAD-5581-D60E7EC671A2}"/>
            </a:ext>
          </a:extLst>
        </xdr:cNvPr>
        <xdr:cNvGrpSpPr/>
      </xdr:nvGrpSpPr>
      <xdr:grpSpPr>
        <a:xfrm>
          <a:off x="11772" y="1595770"/>
          <a:ext cx="1704895" cy="486939"/>
          <a:chOff x="21544" y="1467318"/>
          <a:chExt cx="1724265" cy="477164"/>
        </a:xfrm>
      </xdr:grpSpPr>
      <xdr:sp macro="" textlink="">
        <xdr:nvSpPr>
          <xdr:cNvPr id="118" name="Rectangle: Rounded Corners 117">
            <a:extLst>
              <a:ext uri="{FF2B5EF4-FFF2-40B4-BE49-F238E27FC236}">
                <a16:creationId xmlns:a16="http://schemas.microsoft.com/office/drawing/2014/main" id="{3575B5A6-B922-54E3-E14C-B48A63E5B32D}"/>
              </a:ext>
            </a:extLst>
          </xdr:cNvPr>
          <xdr:cNvSpPr/>
        </xdr:nvSpPr>
        <xdr:spPr>
          <a:xfrm>
            <a:off x="21544" y="1467318"/>
            <a:ext cx="1708150" cy="47716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9" name="TextBox 118">
            <a:hlinkClick xmlns:r="http://schemas.openxmlformats.org/officeDocument/2006/relationships" r:id="rId9"/>
            <a:extLst>
              <a:ext uri="{FF2B5EF4-FFF2-40B4-BE49-F238E27FC236}">
                <a16:creationId xmlns:a16="http://schemas.microsoft.com/office/drawing/2014/main" id="{A17248C4-078B-1A8F-4334-DBA8036C45B9}"/>
              </a:ext>
            </a:extLst>
          </xdr:cNvPr>
          <xdr:cNvSpPr txBox="1"/>
        </xdr:nvSpPr>
        <xdr:spPr>
          <a:xfrm>
            <a:off x="31309" y="1538635"/>
            <a:ext cx="1714500" cy="3465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CIDB               </a:t>
            </a:r>
            <a:endParaRPr lang="en-US" sz="1600">
              <a:solidFill>
                <a:schemeClr val="tx2">
                  <a:lumMod val="90000"/>
                  <a:lumOff val="10000"/>
                </a:schemeClr>
              </a:solidFill>
            </a:endParaRPr>
          </a:p>
        </xdr:txBody>
      </xdr:sp>
      <xdr:sp macro="" textlink="">
        <xdr:nvSpPr>
          <xdr:cNvPr id="120" name="Oval 119">
            <a:extLst>
              <a:ext uri="{FF2B5EF4-FFF2-40B4-BE49-F238E27FC236}">
                <a16:creationId xmlns:a16="http://schemas.microsoft.com/office/drawing/2014/main" id="{E80DEA27-772E-2B05-E143-CC38FB80B1B3}"/>
              </a:ext>
            </a:extLst>
          </xdr:cNvPr>
          <xdr:cNvSpPr/>
        </xdr:nvSpPr>
        <xdr:spPr>
          <a:xfrm>
            <a:off x="116000" y="1549969"/>
            <a:ext cx="285750" cy="311008"/>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grpSp>
    <xdr:clientData/>
  </xdr:twoCellAnchor>
  <xdr:twoCellAnchor>
    <xdr:from>
      <xdr:col>0</xdr:col>
      <xdr:colOff>8199</xdr:colOff>
      <xdr:row>6</xdr:row>
      <xdr:rowOff>343386</xdr:rowOff>
    </xdr:from>
    <xdr:to>
      <xdr:col>0</xdr:col>
      <xdr:colOff>1713094</xdr:colOff>
      <xdr:row>7</xdr:row>
      <xdr:rowOff>90305</xdr:rowOff>
    </xdr:to>
    <xdr:grpSp>
      <xdr:nvGrpSpPr>
        <xdr:cNvPr id="11" name="Group 10">
          <a:extLst>
            <a:ext uri="{FF2B5EF4-FFF2-40B4-BE49-F238E27FC236}">
              <a16:creationId xmlns:a16="http://schemas.microsoft.com/office/drawing/2014/main" id="{9520A920-EA6A-2A0F-5F2A-9032118F457E}"/>
            </a:ext>
          </a:extLst>
        </xdr:cNvPr>
        <xdr:cNvGrpSpPr/>
      </xdr:nvGrpSpPr>
      <xdr:grpSpPr>
        <a:xfrm>
          <a:off x="8199" y="3503267"/>
          <a:ext cx="1704895" cy="480193"/>
          <a:chOff x="8532" y="3456662"/>
          <a:chExt cx="1722818" cy="482122"/>
        </a:xfrm>
      </xdr:grpSpPr>
      <xdr:sp macro="" textlink="">
        <xdr:nvSpPr>
          <xdr:cNvPr id="114" name="Rectangle: Rounded Corners 113">
            <a:extLst>
              <a:ext uri="{FF2B5EF4-FFF2-40B4-BE49-F238E27FC236}">
                <a16:creationId xmlns:a16="http://schemas.microsoft.com/office/drawing/2014/main" id="{F72727C8-9150-A31E-04AC-14768C69D630}"/>
              </a:ext>
            </a:extLst>
          </xdr:cNvPr>
          <xdr:cNvSpPr/>
        </xdr:nvSpPr>
        <xdr:spPr>
          <a:xfrm>
            <a:off x="8532" y="3463210"/>
            <a:ext cx="1706703" cy="47538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5" name="TextBox 114">
            <a:hlinkClick xmlns:r="http://schemas.openxmlformats.org/officeDocument/2006/relationships" r:id="rId10"/>
            <a:extLst>
              <a:ext uri="{FF2B5EF4-FFF2-40B4-BE49-F238E27FC236}">
                <a16:creationId xmlns:a16="http://schemas.microsoft.com/office/drawing/2014/main" id="{1B430C38-BA35-BA35-BEC1-5B0DD1C627E7}"/>
              </a:ext>
            </a:extLst>
          </xdr:cNvPr>
          <xdr:cNvSpPr txBox="1"/>
        </xdr:nvSpPr>
        <xdr:spPr>
          <a:xfrm>
            <a:off x="18297" y="3534441"/>
            <a:ext cx="1713053" cy="3448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tx2">
                    <a:lumMod val="90000"/>
                    <a:lumOff val="10000"/>
                  </a:schemeClr>
                </a:solidFill>
                <a:sym typeface="Webdings" panose="05030102010509060703" pitchFamily="18" charset="2"/>
              </a:rPr>
              <a:t></a:t>
            </a:r>
            <a:endParaRPr lang="en-US" sz="1600">
              <a:solidFill>
                <a:schemeClr val="tx2">
                  <a:lumMod val="90000"/>
                  <a:lumOff val="10000"/>
                </a:schemeClr>
              </a:solidFill>
            </a:endParaRPr>
          </a:p>
        </xdr:txBody>
      </xdr:sp>
      <xdr:sp macro="" textlink="">
        <xdr:nvSpPr>
          <xdr:cNvPr id="116" name="Oval 115">
            <a:extLst>
              <a:ext uri="{FF2B5EF4-FFF2-40B4-BE49-F238E27FC236}">
                <a16:creationId xmlns:a16="http://schemas.microsoft.com/office/drawing/2014/main" id="{D0490025-FF3D-8793-8F86-3FE55E9C9C50}"/>
              </a:ext>
            </a:extLst>
          </xdr:cNvPr>
          <xdr:cNvSpPr/>
        </xdr:nvSpPr>
        <xdr:spPr>
          <a:xfrm>
            <a:off x="102988" y="3545646"/>
            <a:ext cx="285750" cy="309666"/>
          </a:xfrm>
          <a:prstGeom prst="ellipse">
            <a:avLst/>
          </a:prstGeom>
          <a:solidFill>
            <a:srgbClr val="0070C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7" name="TextBox 116">
            <a:hlinkClick xmlns:r="http://schemas.openxmlformats.org/officeDocument/2006/relationships" r:id="rId10"/>
            <a:extLst>
              <a:ext uri="{FF2B5EF4-FFF2-40B4-BE49-F238E27FC236}">
                <a16:creationId xmlns:a16="http://schemas.microsoft.com/office/drawing/2014/main" id="{F65EEC70-4DFF-9498-A923-61D6599CAA5F}"/>
              </a:ext>
            </a:extLst>
          </xdr:cNvPr>
          <xdr:cNvSpPr txBox="1"/>
        </xdr:nvSpPr>
        <xdr:spPr>
          <a:xfrm>
            <a:off x="454790" y="3456662"/>
            <a:ext cx="930733" cy="4821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100">
                <a:solidFill>
                  <a:schemeClr val="tx2">
                    <a:lumMod val="90000"/>
                    <a:lumOff val="10000"/>
                  </a:schemeClr>
                </a:solidFill>
              </a:rPr>
              <a:t>Pesticides Act</a:t>
            </a:r>
          </a:p>
        </xdr:txBody>
      </xdr:sp>
    </xdr:grpSp>
    <xdr:clientData/>
  </xdr:twoCellAnchor>
  <xdr:twoCellAnchor>
    <xdr:from>
      <xdr:col>0</xdr:col>
      <xdr:colOff>6077</xdr:colOff>
      <xdr:row>7</xdr:row>
      <xdr:rowOff>103103</xdr:rowOff>
    </xdr:from>
    <xdr:to>
      <xdr:col>0</xdr:col>
      <xdr:colOff>1713246</xdr:colOff>
      <xdr:row>7</xdr:row>
      <xdr:rowOff>564910</xdr:rowOff>
    </xdr:to>
    <xdr:grpSp>
      <xdr:nvGrpSpPr>
        <xdr:cNvPr id="12" name="Group 11">
          <a:extLst>
            <a:ext uri="{FF2B5EF4-FFF2-40B4-BE49-F238E27FC236}">
              <a16:creationId xmlns:a16="http://schemas.microsoft.com/office/drawing/2014/main" id="{D268D7E3-7221-1833-D2C8-82FDE653D3C3}"/>
            </a:ext>
          </a:extLst>
        </xdr:cNvPr>
        <xdr:cNvGrpSpPr/>
      </xdr:nvGrpSpPr>
      <xdr:grpSpPr>
        <a:xfrm>
          <a:off x="6077" y="3996258"/>
          <a:ext cx="1707169" cy="461807"/>
          <a:chOff x="6323" y="3964228"/>
          <a:chExt cx="1725184" cy="454551"/>
        </a:xfrm>
      </xdr:grpSpPr>
      <xdr:sp macro="" textlink="">
        <xdr:nvSpPr>
          <xdr:cNvPr id="110" name="Rectangle: Rounded Corners 109">
            <a:extLst>
              <a:ext uri="{FF2B5EF4-FFF2-40B4-BE49-F238E27FC236}">
                <a16:creationId xmlns:a16="http://schemas.microsoft.com/office/drawing/2014/main" id="{2248435D-FA0D-AD3D-C489-643632F97556}"/>
              </a:ext>
            </a:extLst>
          </xdr:cNvPr>
          <xdr:cNvSpPr/>
        </xdr:nvSpPr>
        <xdr:spPr>
          <a:xfrm>
            <a:off x="6323" y="3970410"/>
            <a:ext cx="1709047" cy="44819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11" name="TextBox 110">
            <a:hlinkClick xmlns:r="http://schemas.openxmlformats.org/officeDocument/2006/relationships" r:id="rId11"/>
            <a:extLst>
              <a:ext uri="{FF2B5EF4-FFF2-40B4-BE49-F238E27FC236}">
                <a16:creationId xmlns:a16="http://schemas.microsoft.com/office/drawing/2014/main" id="{CF0FB6AB-9D0B-D1C2-D074-A5EF287DEAC8}"/>
              </a:ext>
            </a:extLst>
          </xdr:cNvPr>
          <xdr:cNvSpPr txBox="1"/>
        </xdr:nvSpPr>
        <xdr:spPr>
          <a:xfrm>
            <a:off x="16101" y="4036973"/>
            <a:ext cx="1715406" cy="3263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12" name="Oval 111">
            <a:extLst>
              <a:ext uri="{FF2B5EF4-FFF2-40B4-BE49-F238E27FC236}">
                <a16:creationId xmlns:a16="http://schemas.microsoft.com/office/drawing/2014/main" id="{22426740-059E-9B41-1C97-9A37B6846622}"/>
              </a:ext>
            </a:extLst>
          </xdr:cNvPr>
          <xdr:cNvSpPr/>
        </xdr:nvSpPr>
        <xdr:spPr>
          <a:xfrm>
            <a:off x="100909" y="4047552"/>
            <a:ext cx="286142" cy="29310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13" name="TextBox 112">
            <a:hlinkClick xmlns:r="http://schemas.openxmlformats.org/officeDocument/2006/relationships" r:id="rId11"/>
            <a:extLst>
              <a:ext uri="{FF2B5EF4-FFF2-40B4-BE49-F238E27FC236}">
                <a16:creationId xmlns:a16="http://schemas.microsoft.com/office/drawing/2014/main" id="{0AD6660D-9979-4D7E-BFAC-EA4901ADE446}"/>
              </a:ext>
            </a:extLst>
          </xdr:cNvPr>
          <xdr:cNvSpPr txBox="1"/>
        </xdr:nvSpPr>
        <xdr:spPr>
          <a:xfrm>
            <a:off x="453193" y="3964228"/>
            <a:ext cx="932012" cy="4545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NADOPOD</a:t>
            </a:r>
          </a:p>
        </xdr:txBody>
      </xdr:sp>
    </xdr:grpSp>
    <xdr:clientData/>
  </xdr:twoCellAnchor>
  <xdr:twoCellAnchor>
    <xdr:from>
      <xdr:col>0</xdr:col>
      <xdr:colOff>2748</xdr:colOff>
      <xdr:row>7</xdr:row>
      <xdr:rowOff>582140</xdr:rowOff>
    </xdr:from>
    <xdr:to>
      <xdr:col>0</xdr:col>
      <xdr:colOff>1709917</xdr:colOff>
      <xdr:row>8</xdr:row>
      <xdr:rowOff>340158</xdr:rowOff>
    </xdr:to>
    <xdr:grpSp>
      <xdr:nvGrpSpPr>
        <xdr:cNvPr id="13" name="Group 12">
          <a:extLst>
            <a:ext uri="{FF2B5EF4-FFF2-40B4-BE49-F238E27FC236}">
              <a16:creationId xmlns:a16="http://schemas.microsoft.com/office/drawing/2014/main" id="{6B8B1325-A820-B5F4-3E64-2CC2486DFB39}"/>
            </a:ext>
          </a:extLst>
        </xdr:cNvPr>
        <xdr:cNvGrpSpPr/>
      </xdr:nvGrpSpPr>
      <xdr:grpSpPr>
        <a:xfrm>
          <a:off x="2748" y="4475295"/>
          <a:ext cx="1707169" cy="491292"/>
          <a:chOff x="2860" y="4442071"/>
          <a:chExt cx="1725184" cy="485874"/>
        </a:xfrm>
      </xdr:grpSpPr>
      <xdr:sp macro="" textlink="">
        <xdr:nvSpPr>
          <xdr:cNvPr id="106" name="Rectangle: Rounded Corners 105">
            <a:extLst>
              <a:ext uri="{FF2B5EF4-FFF2-40B4-BE49-F238E27FC236}">
                <a16:creationId xmlns:a16="http://schemas.microsoft.com/office/drawing/2014/main" id="{D89DED22-B08D-783E-FAC5-BD29FF6E6AFA}"/>
              </a:ext>
            </a:extLst>
          </xdr:cNvPr>
          <xdr:cNvSpPr/>
        </xdr:nvSpPr>
        <xdr:spPr>
          <a:xfrm>
            <a:off x="2860" y="4448680"/>
            <a:ext cx="1709047" cy="47907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7" name="TextBox 106">
            <a:hlinkClick xmlns:r="http://schemas.openxmlformats.org/officeDocument/2006/relationships" r:id="rId12"/>
            <a:extLst>
              <a:ext uri="{FF2B5EF4-FFF2-40B4-BE49-F238E27FC236}">
                <a16:creationId xmlns:a16="http://schemas.microsoft.com/office/drawing/2014/main" id="{45BDC103-D395-1BC6-D696-C47859313AFD}"/>
              </a:ext>
            </a:extLst>
          </xdr:cNvPr>
          <xdr:cNvSpPr txBox="1"/>
        </xdr:nvSpPr>
        <xdr:spPr>
          <a:xfrm>
            <a:off x="12638" y="4519845"/>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8" name="Oval 107">
            <a:extLst>
              <a:ext uri="{FF2B5EF4-FFF2-40B4-BE49-F238E27FC236}">
                <a16:creationId xmlns:a16="http://schemas.microsoft.com/office/drawing/2014/main" id="{8576B8F6-C571-2E4B-91D5-1E4A6793E86D}"/>
              </a:ext>
            </a:extLst>
          </xdr:cNvPr>
          <xdr:cNvSpPr/>
        </xdr:nvSpPr>
        <xdr:spPr>
          <a:xfrm>
            <a:off x="97446" y="4531155"/>
            <a:ext cx="286142" cy="31327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9" name="TextBox 108">
            <a:hlinkClick xmlns:r="http://schemas.openxmlformats.org/officeDocument/2006/relationships" r:id="rId12"/>
            <a:extLst>
              <a:ext uri="{FF2B5EF4-FFF2-40B4-BE49-F238E27FC236}">
                <a16:creationId xmlns:a16="http://schemas.microsoft.com/office/drawing/2014/main" id="{ECD7744D-FA8C-7A96-21DD-A6E71057B32A}"/>
              </a:ext>
            </a:extLst>
          </xdr:cNvPr>
          <xdr:cNvSpPr txBox="1"/>
        </xdr:nvSpPr>
        <xdr:spPr>
          <a:xfrm>
            <a:off x="449730" y="4442071"/>
            <a:ext cx="932012"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USECHH</a:t>
            </a:r>
          </a:p>
        </xdr:txBody>
      </xdr:sp>
    </xdr:grpSp>
    <xdr:clientData/>
  </xdr:twoCellAnchor>
  <xdr:twoCellAnchor>
    <xdr:from>
      <xdr:col>0</xdr:col>
      <xdr:colOff>2133</xdr:colOff>
      <xdr:row>8</xdr:row>
      <xdr:rowOff>362497</xdr:rowOff>
    </xdr:from>
    <xdr:to>
      <xdr:col>0</xdr:col>
      <xdr:colOff>1709302</xdr:colOff>
      <xdr:row>9</xdr:row>
      <xdr:rowOff>82231</xdr:rowOff>
    </xdr:to>
    <xdr:grpSp>
      <xdr:nvGrpSpPr>
        <xdr:cNvPr id="14" name="Group 13">
          <a:extLst>
            <a:ext uri="{FF2B5EF4-FFF2-40B4-BE49-F238E27FC236}">
              <a16:creationId xmlns:a16="http://schemas.microsoft.com/office/drawing/2014/main" id="{1F69EE1E-F8C2-B6F5-5503-08EF61B66826}"/>
            </a:ext>
          </a:extLst>
        </xdr:cNvPr>
        <xdr:cNvGrpSpPr/>
      </xdr:nvGrpSpPr>
      <xdr:grpSpPr>
        <a:xfrm>
          <a:off x="2133" y="4988926"/>
          <a:ext cx="1707169" cy="453007"/>
          <a:chOff x="2219" y="4949272"/>
          <a:chExt cx="1725184" cy="456170"/>
        </a:xfrm>
      </xdr:grpSpPr>
      <xdr:sp macro="" textlink="">
        <xdr:nvSpPr>
          <xdr:cNvPr id="102" name="Rectangle: Rounded Corners 101">
            <a:extLst>
              <a:ext uri="{FF2B5EF4-FFF2-40B4-BE49-F238E27FC236}">
                <a16:creationId xmlns:a16="http://schemas.microsoft.com/office/drawing/2014/main" id="{B5451ECB-1F69-22E0-1308-41A303262CE4}"/>
              </a:ext>
            </a:extLst>
          </xdr:cNvPr>
          <xdr:cNvSpPr/>
        </xdr:nvSpPr>
        <xdr:spPr>
          <a:xfrm>
            <a:off x="2219" y="4955466"/>
            <a:ext cx="1709047" cy="44979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03" name="TextBox 102">
            <a:hlinkClick xmlns:r="http://schemas.openxmlformats.org/officeDocument/2006/relationships" r:id="rId13"/>
            <a:extLst>
              <a:ext uri="{FF2B5EF4-FFF2-40B4-BE49-F238E27FC236}">
                <a16:creationId xmlns:a16="http://schemas.microsoft.com/office/drawing/2014/main" id="{3FA479E6-35E6-EF80-228B-719C92D03453}"/>
              </a:ext>
            </a:extLst>
          </xdr:cNvPr>
          <xdr:cNvSpPr txBox="1"/>
        </xdr:nvSpPr>
        <xdr:spPr>
          <a:xfrm>
            <a:off x="11997" y="5022884"/>
            <a:ext cx="1715406" cy="3262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4" name="Oval 103">
            <a:extLst>
              <a:ext uri="{FF2B5EF4-FFF2-40B4-BE49-F238E27FC236}">
                <a16:creationId xmlns:a16="http://schemas.microsoft.com/office/drawing/2014/main" id="{946161A8-74FE-8BEF-98B3-F94F7AFF148A}"/>
              </a:ext>
            </a:extLst>
          </xdr:cNvPr>
          <xdr:cNvSpPr/>
        </xdr:nvSpPr>
        <xdr:spPr>
          <a:xfrm>
            <a:off x="96805" y="5033484"/>
            <a:ext cx="286142" cy="292963"/>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5" name="TextBox 104">
            <a:hlinkClick xmlns:r="http://schemas.openxmlformats.org/officeDocument/2006/relationships" r:id="rId13"/>
            <a:extLst>
              <a:ext uri="{FF2B5EF4-FFF2-40B4-BE49-F238E27FC236}">
                <a16:creationId xmlns:a16="http://schemas.microsoft.com/office/drawing/2014/main" id="{2AF416B9-793A-9F2D-03BE-589AB3FF1715}"/>
              </a:ext>
            </a:extLst>
          </xdr:cNvPr>
          <xdr:cNvSpPr txBox="1"/>
        </xdr:nvSpPr>
        <xdr:spPr>
          <a:xfrm>
            <a:off x="449089" y="4949272"/>
            <a:ext cx="982498" cy="4561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Noise Exposure</a:t>
            </a:r>
          </a:p>
        </xdr:txBody>
      </xdr:sp>
    </xdr:grpSp>
    <xdr:clientData/>
  </xdr:twoCellAnchor>
  <xdr:twoCellAnchor>
    <xdr:from>
      <xdr:col>0</xdr:col>
      <xdr:colOff>2129</xdr:colOff>
      <xdr:row>9</xdr:row>
      <xdr:rowOff>101148</xdr:rowOff>
    </xdr:from>
    <xdr:to>
      <xdr:col>0</xdr:col>
      <xdr:colOff>1709298</xdr:colOff>
      <xdr:row>9</xdr:row>
      <xdr:rowOff>590494</xdr:rowOff>
    </xdr:to>
    <xdr:grpSp>
      <xdr:nvGrpSpPr>
        <xdr:cNvPr id="15" name="Group 14">
          <a:extLst>
            <a:ext uri="{FF2B5EF4-FFF2-40B4-BE49-F238E27FC236}">
              <a16:creationId xmlns:a16="http://schemas.microsoft.com/office/drawing/2014/main" id="{C0D73743-1FFA-CCCE-FE88-746FB08E137F}"/>
            </a:ext>
          </a:extLst>
        </xdr:cNvPr>
        <xdr:cNvGrpSpPr/>
      </xdr:nvGrpSpPr>
      <xdr:grpSpPr>
        <a:xfrm>
          <a:off x="2129" y="5460850"/>
          <a:ext cx="1707169" cy="489346"/>
          <a:chOff x="2215" y="5434042"/>
          <a:chExt cx="1725184" cy="486597"/>
        </a:xfrm>
      </xdr:grpSpPr>
      <xdr:sp macro="" textlink="">
        <xdr:nvSpPr>
          <xdr:cNvPr id="98" name="Rectangle: Rounded Corners 97">
            <a:extLst>
              <a:ext uri="{FF2B5EF4-FFF2-40B4-BE49-F238E27FC236}">
                <a16:creationId xmlns:a16="http://schemas.microsoft.com/office/drawing/2014/main" id="{2BBB13C1-2704-3178-F8CF-057F8E0BD295}"/>
              </a:ext>
            </a:extLst>
          </xdr:cNvPr>
          <xdr:cNvSpPr/>
        </xdr:nvSpPr>
        <xdr:spPr>
          <a:xfrm>
            <a:off x="2215" y="5440651"/>
            <a:ext cx="1709047" cy="47979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9" name="TextBox 98">
            <a:hlinkClick xmlns:r="http://schemas.openxmlformats.org/officeDocument/2006/relationships" r:id="rId14"/>
            <a:extLst>
              <a:ext uri="{FF2B5EF4-FFF2-40B4-BE49-F238E27FC236}">
                <a16:creationId xmlns:a16="http://schemas.microsoft.com/office/drawing/2014/main" id="{17E8F515-3958-549B-90AB-6C5BDC5776AE}"/>
              </a:ext>
            </a:extLst>
          </xdr:cNvPr>
          <xdr:cNvSpPr txBox="1"/>
        </xdr:nvSpPr>
        <xdr:spPr>
          <a:xfrm>
            <a:off x="11993" y="551181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100" name="Oval 99">
            <a:extLst>
              <a:ext uri="{FF2B5EF4-FFF2-40B4-BE49-F238E27FC236}">
                <a16:creationId xmlns:a16="http://schemas.microsoft.com/office/drawing/2014/main" id="{27D79841-A125-3157-5FDE-AE91304EDEEA}"/>
              </a:ext>
            </a:extLst>
          </xdr:cNvPr>
          <xdr:cNvSpPr/>
        </xdr:nvSpPr>
        <xdr:spPr>
          <a:xfrm>
            <a:off x="96801" y="552312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01" name="TextBox 100">
            <a:hlinkClick xmlns:r="http://schemas.openxmlformats.org/officeDocument/2006/relationships" r:id="rId14"/>
            <a:extLst>
              <a:ext uri="{FF2B5EF4-FFF2-40B4-BE49-F238E27FC236}">
                <a16:creationId xmlns:a16="http://schemas.microsoft.com/office/drawing/2014/main" id="{9F97BA8C-D9E3-A255-C49D-3AABF7594702}"/>
              </a:ext>
            </a:extLst>
          </xdr:cNvPr>
          <xdr:cNvSpPr txBox="1"/>
        </xdr:nvSpPr>
        <xdr:spPr>
          <a:xfrm>
            <a:off x="449085" y="5434042"/>
            <a:ext cx="982498" cy="4865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SHC</a:t>
            </a:r>
          </a:p>
        </xdr:txBody>
      </xdr:sp>
    </xdr:grpSp>
    <xdr:clientData/>
  </xdr:twoCellAnchor>
  <xdr:twoCellAnchor>
    <xdr:from>
      <xdr:col>0</xdr:col>
      <xdr:colOff>2127</xdr:colOff>
      <xdr:row>9</xdr:row>
      <xdr:rowOff>608349</xdr:rowOff>
    </xdr:from>
    <xdr:to>
      <xdr:col>0</xdr:col>
      <xdr:colOff>1709296</xdr:colOff>
      <xdr:row>10</xdr:row>
      <xdr:rowOff>366367</xdr:rowOff>
    </xdr:to>
    <xdr:grpSp>
      <xdr:nvGrpSpPr>
        <xdr:cNvPr id="16" name="Group 15">
          <a:extLst>
            <a:ext uri="{FF2B5EF4-FFF2-40B4-BE49-F238E27FC236}">
              <a16:creationId xmlns:a16="http://schemas.microsoft.com/office/drawing/2014/main" id="{8986BEB2-9075-7838-9866-B71D9A254685}"/>
            </a:ext>
          </a:extLst>
        </xdr:cNvPr>
        <xdr:cNvGrpSpPr/>
      </xdr:nvGrpSpPr>
      <xdr:grpSpPr>
        <a:xfrm>
          <a:off x="2127" y="5968051"/>
          <a:ext cx="1707169" cy="491292"/>
          <a:chOff x="2213" y="5938772"/>
          <a:chExt cx="1725184" cy="485874"/>
        </a:xfrm>
      </xdr:grpSpPr>
      <xdr:sp macro="" textlink="">
        <xdr:nvSpPr>
          <xdr:cNvPr id="94" name="Rectangle: Rounded Corners 93">
            <a:extLst>
              <a:ext uri="{FF2B5EF4-FFF2-40B4-BE49-F238E27FC236}">
                <a16:creationId xmlns:a16="http://schemas.microsoft.com/office/drawing/2014/main" id="{4B4C7BB9-89C6-FB37-7E7B-5AC0B57B219B}"/>
              </a:ext>
            </a:extLst>
          </xdr:cNvPr>
          <xdr:cNvSpPr/>
        </xdr:nvSpPr>
        <xdr:spPr>
          <a:xfrm>
            <a:off x="2213" y="5945381"/>
            <a:ext cx="1709047" cy="479074"/>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5" name="TextBox 94">
            <a:hlinkClick xmlns:r="http://schemas.openxmlformats.org/officeDocument/2006/relationships" r:id="rId15"/>
            <a:extLst>
              <a:ext uri="{FF2B5EF4-FFF2-40B4-BE49-F238E27FC236}">
                <a16:creationId xmlns:a16="http://schemas.microsoft.com/office/drawing/2014/main" id="{6F723E8D-C9F6-7A98-E17E-890CCD6BB027}"/>
              </a:ext>
            </a:extLst>
          </xdr:cNvPr>
          <xdr:cNvSpPr txBox="1"/>
        </xdr:nvSpPr>
        <xdr:spPr>
          <a:xfrm>
            <a:off x="11991" y="6016546"/>
            <a:ext cx="1715406" cy="348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6" name="Oval 95">
            <a:extLst>
              <a:ext uri="{FF2B5EF4-FFF2-40B4-BE49-F238E27FC236}">
                <a16:creationId xmlns:a16="http://schemas.microsoft.com/office/drawing/2014/main" id="{E0CD6126-1002-92D9-2125-4B0A7DE6432D}"/>
              </a:ext>
            </a:extLst>
          </xdr:cNvPr>
          <xdr:cNvSpPr/>
        </xdr:nvSpPr>
        <xdr:spPr>
          <a:xfrm>
            <a:off x="96799" y="6027856"/>
            <a:ext cx="286142" cy="313272"/>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7" name="TextBox 96">
            <a:hlinkClick xmlns:r="http://schemas.openxmlformats.org/officeDocument/2006/relationships" r:id="rId15"/>
            <a:extLst>
              <a:ext uri="{FF2B5EF4-FFF2-40B4-BE49-F238E27FC236}">
                <a16:creationId xmlns:a16="http://schemas.microsoft.com/office/drawing/2014/main" id="{6EB2FC76-0915-FCB2-309D-DDD97F4A7A62}"/>
              </a:ext>
            </a:extLst>
          </xdr:cNvPr>
          <xdr:cNvSpPr txBox="1"/>
        </xdr:nvSpPr>
        <xdr:spPr>
          <a:xfrm>
            <a:off x="449083" y="5938772"/>
            <a:ext cx="982498" cy="4858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CF</a:t>
            </a:r>
          </a:p>
        </xdr:txBody>
      </xdr:sp>
    </xdr:grpSp>
    <xdr:clientData/>
  </xdr:twoCellAnchor>
  <xdr:twoCellAnchor>
    <xdr:from>
      <xdr:col>0</xdr:col>
      <xdr:colOff>842</xdr:colOff>
      <xdr:row>10</xdr:row>
      <xdr:rowOff>386157</xdr:rowOff>
    </xdr:from>
    <xdr:to>
      <xdr:col>0</xdr:col>
      <xdr:colOff>1708011</xdr:colOff>
      <xdr:row>11</xdr:row>
      <xdr:rowOff>290831</xdr:rowOff>
    </xdr:to>
    <xdr:grpSp>
      <xdr:nvGrpSpPr>
        <xdr:cNvPr id="17" name="Group 16">
          <a:extLst>
            <a:ext uri="{FF2B5EF4-FFF2-40B4-BE49-F238E27FC236}">
              <a16:creationId xmlns:a16="http://schemas.microsoft.com/office/drawing/2014/main" id="{DA3B96D4-2EC2-DF85-90AD-28B2FEEFA72F}"/>
            </a:ext>
          </a:extLst>
        </xdr:cNvPr>
        <xdr:cNvGrpSpPr/>
      </xdr:nvGrpSpPr>
      <xdr:grpSpPr>
        <a:xfrm>
          <a:off x="842" y="6479133"/>
          <a:ext cx="1707169" cy="456519"/>
          <a:chOff x="876" y="6443539"/>
          <a:chExt cx="1725184" cy="456924"/>
        </a:xfrm>
      </xdr:grpSpPr>
      <xdr:sp macro="" textlink="">
        <xdr:nvSpPr>
          <xdr:cNvPr id="90" name="Rectangle: Rounded Corners 89">
            <a:extLst>
              <a:ext uri="{FF2B5EF4-FFF2-40B4-BE49-F238E27FC236}">
                <a16:creationId xmlns:a16="http://schemas.microsoft.com/office/drawing/2014/main" id="{CD39092F-5135-BBB4-92D9-2EAB2066B0F4}"/>
              </a:ext>
            </a:extLst>
          </xdr:cNvPr>
          <xdr:cNvSpPr/>
        </xdr:nvSpPr>
        <xdr:spPr>
          <a:xfrm>
            <a:off x="876" y="6449744"/>
            <a:ext cx="1709047" cy="45054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91" name="TextBox 90">
            <a:hlinkClick xmlns:r="http://schemas.openxmlformats.org/officeDocument/2006/relationships" r:id="rId16"/>
            <a:extLst>
              <a:ext uri="{FF2B5EF4-FFF2-40B4-BE49-F238E27FC236}">
                <a16:creationId xmlns:a16="http://schemas.microsoft.com/office/drawing/2014/main" id="{086C02C8-2F72-C91D-6674-3938B6299138}"/>
              </a:ext>
            </a:extLst>
          </xdr:cNvPr>
          <xdr:cNvSpPr txBox="1"/>
        </xdr:nvSpPr>
        <xdr:spPr>
          <a:xfrm>
            <a:off x="10654" y="6517273"/>
            <a:ext cx="1715406" cy="3275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92" name="Oval 91">
            <a:extLst>
              <a:ext uri="{FF2B5EF4-FFF2-40B4-BE49-F238E27FC236}">
                <a16:creationId xmlns:a16="http://schemas.microsoft.com/office/drawing/2014/main" id="{F6EE2A96-B9C0-F8FD-6ABA-1EDB998B0B99}"/>
              </a:ext>
            </a:extLst>
          </xdr:cNvPr>
          <xdr:cNvSpPr/>
        </xdr:nvSpPr>
        <xdr:spPr>
          <a:xfrm>
            <a:off x="95462" y="6527891"/>
            <a:ext cx="286142" cy="29344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93" name="TextBox 92">
            <a:hlinkClick xmlns:r="http://schemas.openxmlformats.org/officeDocument/2006/relationships" r:id="rId16"/>
            <a:extLst>
              <a:ext uri="{FF2B5EF4-FFF2-40B4-BE49-F238E27FC236}">
                <a16:creationId xmlns:a16="http://schemas.microsoft.com/office/drawing/2014/main" id="{7539C8F9-6F43-5C86-B3C5-498012174172}"/>
              </a:ext>
            </a:extLst>
          </xdr:cNvPr>
          <xdr:cNvSpPr txBox="1"/>
        </xdr:nvSpPr>
        <xdr:spPr>
          <a:xfrm>
            <a:off x="447746" y="6443539"/>
            <a:ext cx="982498" cy="4569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CDM</a:t>
            </a:r>
          </a:p>
        </xdr:txBody>
      </xdr:sp>
    </xdr:grpSp>
    <xdr:clientData/>
  </xdr:twoCellAnchor>
  <xdr:twoCellAnchor>
    <xdr:from>
      <xdr:col>0</xdr:col>
      <xdr:colOff>1777</xdr:colOff>
      <xdr:row>12</xdr:row>
      <xdr:rowOff>82193</xdr:rowOff>
    </xdr:from>
    <xdr:to>
      <xdr:col>0</xdr:col>
      <xdr:colOff>1708946</xdr:colOff>
      <xdr:row>12</xdr:row>
      <xdr:rowOff>547436</xdr:rowOff>
    </xdr:to>
    <xdr:grpSp>
      <xdr:nvGrpSpPr>
        <xdr:cNvPr id="18" name="Group 17">
          <a:extLst>
            <a:ext uri="{FF2B5EF4-FFF2-40B4-BE49-F238E27FC236}">
              <a16:creationId xmlns:a16="http://schemas.microsoft.com/office/drawing/2014/main" id="{7B92ED93-850A-190C-9368-FB3ACF541AC1}"/>
            </a:ext>
          </a:extLst>
        </xdr:cNvPr>
        <xdr:cNvGrpSpPr/>
      </xdr:nvGrpSpPr>
      <xdr:grpSpPr>
        <a:xfrm>
          <a:off x="1777" y="7460288"/>
          <a:ext cx="1707169" cy="465243"/>
          <a:chOff x="1849" y="7421500"/>
          <a:chExt cx="1725184" cy="457832"/>
        </a:xfrm>
      </xdr:grpSpPr>
      <xdr:sp macro="" textlink="">
        <xdr:nvSpPr>
          <xdr:cNvPr id="86" name="Rectangle: Rounded Corners 85">
            <a:extLst>
              <a:ext uri="{FF2B5EF4-FFF2-40B4-BE49-F238E27FC236}">
                <a16:creationId xmlns:a16="http://schemas.microsoft.com/office/drawing/2014/main" id="{2E88A45A-F26C-ABB2-3330-9881422AD4F0}"/>
              </a:ext>
            </a:extLst>
          </xdr:cNvPr>
          <xdr:cNvSpPr/>
        </xdr:nvSpPr>
        <xdr:spPr>
          <a:xfrm>
            <a:off x="1849" y="7427727"/>
            <a:ext cx="1709047" cy="451425"/>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7" name="TextBox 86">
            <a:hlinkClick xmlns:r="http://schemas.openxmlformats.org/officeDocument/2006/relationships" r:id="rId17"/>
            <a:extLst>
              <a:ext uri="{FF2B5EF4-FFF2-40B4-BE49-F238E27FC236}">
                <a16:creationId xmlns:a16="http://schemas.microsoft.com/office/drawing/2014/main" id="{E091B6C1-8154-51AC-000A-FBAF5BC6152B}"/>
              </a:ext>
            </a:extLst>
          </xdr:cNvPr>
          <xdr:cNvSpPr txBox="1"/>
        </xdr:nvSpPr>
        <xdr:spPr>
          <a:xfrm>
            <a:off x="11627" y="7494772"/>
            <a:ext cx="1715406" cy="328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8" name="Oval 87">
            <a:extLst>
              <a:ext uri="{FF2B5EF4-FFF2-40B4-BE49-F238E27FC236}">
                <a16:creationId xmlns:a16="http://schemas.microsoft.com/office/drawing/2014/main" id="{2D074A0D-C381-6CAD-E8D7-4BBC2D669E17}"/>
              </a:ext>
            </a:extLst>
          </xdr:cNvPr>
          <xdr:cNvSpPr/>
        </xdr:nvSpPr>
        <xdr:spPr>
          <a:xfrm>
            <a:off x="96435" y="7505427"/>
            <a:ext cx="286142" cy="29522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9" name="TextBox 88">
            <a:hlinkClick xmlns:r="http://schemas.openxmlformats.org/officeDocument/2006/relationships" r:id="rId17"/>
            <a:extLst>
              <a:ext uri="{FF2B5EF4-FFF2-40B4-BE49-F238E27FC236}">
                <a16:creationId xmlns:a16="http://schemas.microsoft.com/office/drawing/2014/main" id="{CF632C7E-298A-C30D-41AA-E10D56E3459F}"/>
              </a:ext>
            </a:extLst>
          </xdr:cNvPr>
          <xdr:cNvSpPr txBox="1"/>
        </xdr:nvSpPr>
        <xdr:spPr>
          <a:xfrm>
            <a:off x="448719" y="7421500"/>
            <a:ext cx="982498" cy="4578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Clean</a:t>
            </a:r>
            <a:r>
              <a:rPr lang="en-US" sz="1200" baseline="0">
                <a:solidFill>
                  <a:schemeClr val="accent6">
                    <a:lumMod val="50000"/>
                  </a:schemeClr>
                </a:solidFill>
              </a:rPr>
              <a:t> Air</a:t>
            </a:r>
            <a:r>
              <a:rPr lang="en-US" sz="1200">
                <a:solidFill>
                  <a:schemeClr val="accent6">
                    <a:lumMod val="50000"/>
                  </a:schemeClr>
                </a:solidFill>
              </a:rPr>
              <a:t> </a:t>
            </a:r>
          </a:p>
        </xdr:txBody>
      </xdr:sp>
    </xdr:grpSp>
    <xdr:clientData/>
  </xdr:twoCellAnchor>
  <xdr:twoCellAnchor>
    <xdr:from>
      <xdr:col>0</xdr:col>
      <xdr:colOff>3704</xdr:colOff>
      <xdr:row>12</xdr:row>
      <xdr:rowOff>574984</xdr:rowOff>
    </xdr:from>
    <xdr:to>
      <xdr:col>0</xdr:col>
      <xdr:colOff>1710873</xdr:colOff>
      <xdr:row>13</xdr:row>
      <xdr:rowOff>326829</xdr:rowOff>
    </xdr:to>
    <xdr:grpSp>
      <xdr:nvGrpSpPr>
        <xdr:cNvPr id="19" name="Group 18">
          <a:extLst>
            <a:ext uri="{FF2B5EF4-FFF2-40B4-BE49-F238E27FC236}">
              <a16:creationId xmlns:a16="http://schemas.microsoft.com/office/drawing/2014/main" id="{C6BA58D8-C16A-8C61-57D8-7FC01A83E600}"/>
            </a:ext>
          </a:extLst>
        </xdr:cNvPr>
        <xdr:cNvGrpSpPr/>
      </xdr:nvGrpSpPr>
      <xdr:grpSpPr>
        <a:xfrm>
          <a:off x="3704" y="7953079"/>
          <a:ext cx="1707169" cy="485119"/>
          <a:chOff x="3854" y="7898602"/>
          <a:chExt cx="1725184" cy="486825"/>
        </a:xfrm>
      </xdr:grpSpPr>
      <xdr:sp macro="" textlink="">
        <xdr:nvSpPr>
          <xdr:cNvPr id="82" name="Rectangle: Rounded Corners 81">
            <a:extLst>
              <a:ext uri="{FF2B5EF4-FFF2-40B4-BE49-F238E27FC236}">
                <a16:creationId xmlns:a16="http://schemas.microsoft.com/office/drawing/2014/main" id="{4F241031-C401-DD59-8F53-2C3AFE142BCF}"/>
              </a:ext>
            </a:extLst>
          </xdr:cNvPr>
          <xdr:cNvSpPr/>
        </xdr:nvSpPr>
        <xdr:spPr>
          <a:xfrm>
            <a:off x="3854" y="7905214"/>
            <a:ext cx="1709047" cy="48002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83" name="TextBox 82">
            <a:hlinkClick xmlns:r="http://schemas.openxmlformats.org/officeDocument/2006/relationships" r:id="rId18"/>
            <a:extLst>
              <a:ext uri="{FF2B5EF4-FFF2-40B4-BE49-F238E27FC236}">
                <a16:creationId xmlns:a16="http://schemas.microsoft.com/office/drawing/2014/main" id="{35AE4929-7A81-B0A1-787B-A37CF26F87D9}"/>
              </a:ext>
            </a:extLst>
          </xdr:cNvPr>
          <xdr:cNvSpPr txBox="1"/>
        </xdr:nvSpPr>
        <xdr:spPr>
          <a:xfrm>
            <a:off x="13632" y="7977136"/>
            <a:ext cx="1715406" cy="348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4" name="Oval 83">
            <a:extLst>
              <a:ext uri="{FF2B5EF4-FFF2-40B4-BE49-F238E27FC236}">
                <a16:creationId xmlns:a16="http://schemas.microsoft.com/office/drawing/2014/main" id="{8A9F5BDF-6811-D133-1A89-A26C5CCBAA61}"/>
              </a:ext>
            </a:extLst>
          </xdr:cNvPr>
          <xdr:cNvSpPr/>
        </xdr:nvSpPr>
        <xdr:spPr>
          <a:xfrm>
            <a:off x="98440" y="7988451"/>
            <a:ext cx="286142" cy="312695"/>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5" name="TextBox 84">
            <a:hlinkClick xmlns:r="http://schemas.openxmlformats.org/officeDocument/2006/relationships" r:id="rId18"/>
            <a:extLst>
              <a:ext uri="{FF2B5EF4-FFF2-40B4-BE49-F238E27FC236}">
                <a16:creationId xmlns:a16="http://schemas.microsoft.com/office/drawing/2014/main" id="{D72F172D-6FD8-1BB8-13AE-B06594F3AA05}"/>
              </a:ext>
            </a:extLst>
          </xdr:cNvPr>
          <xdr:cNvSpPr txBox="1"/>
        </xdr:nvSpPr>
        <xdr:spPr>
          <a:xfrm>
            <a:off x="450724" y="7898602"/>
            <a:ext cx="982498" cy="48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Effluent</a:t>
            </a:r>
          </a:p>
        </xdr:txBody>
      </xdr:sp>
    </xdr:grpSp>
    <xdr:clientData/>
  </xdr:twoCellAnchor>
  <xdr:twoCellAnchor>
    <xdr:from>
      <xdr:col>0</xdr:col>
      <xdr:colOff>4988</xdr:colOff>
      <xdr:row>13</xdr:row>
      <xdr:rowOff>350935</xdr:rowOff>
    </xdr:from>
    <xdr:to>
      <xdr:col>0</xdr:col>
      <xdr:colOff>1712157</xdr:colOff>
      <xdr:row>14</xdr:row>
      <xdr:rowOff>77067</xdr:rowOff>
    </xdr:to>
    <xdr:grpSp>
      <xdr:nvGrpSpPr>
        <xdr:cNvPr id="20" name="Group 19">
          <a:extLst>
            <a:ext uri="{FF2B5EF4-FFF2-40B4-BE49-F238E27FC236}">
              <a16:creationId xmlns:a16="http://schemas.microsoft.com/office/drawing/2014/main" id="{34887674-9ECE-F35E-0EF3-46FF8903AF6B}"/>
            </a:ext>
          </a:extLst>
        </xdr:cNvPr>
        <xdr:cNvGrpSpPr/>
      </xdr:nvGrpSpPr>
      <xdr:grpSpPr>
        <a:xfrm>
          <a:off x="4988" y="8462304"/>
          <a:ext cx="1707169" cy="459406"/>
          <a:chOff x="5190" y="8408439"/>
          <a:chExt cx="1725184" cy="455434"/>
        </a:xfrm>
      </xdr:grpSpPr>
      <xdr:sp macro="" textlink="">
        <xdr:nvSpPr>
          <xdr:cNvPr id="78" name="Rectangle: Rounded Corners 77">
            <a:extLst>
              <a:ext uri="{FF2B5EF4-FFF2-40B4-BE49-F238E27FC236}">
                <a16:creationId xmlns:a16="http://schemas.microsoft.com/office/drawing/2014/main" id="{E56924F8-B9A8-9EB8-72DD-D28E42BB2C72}"/>
              </a:ext>
            </a:extLst>
          </xdr:cNvPr>
          <xdr:cNvSpPr/>
        </xdr:nvSpPr>
        <xdr:spPr>
          <a:xfrm>
            <a:off x="5190" y="8414633"/>
            <a:ext cx="1709047" cy="449061"/>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9" name="TextBox 78">
            <a:hlinkClick xmlns:r="http://schemas.openxmlformats.org/officeDocument/2006/relationships" r:id="rId19"/>
            <a:extLst>
              <a:ext uri="{FF2B5EF4-FFF2-40B4-BE49-F238E27FC236}">
                <a16:creationId xmlns:a16="http://schemas.microsoft.com/office/drawing/2014/main" id="{84A22F3F-25D5-5586-DB9D-8FFDBA651EA9}"/>
              </a:ext>
            </a:extLst>
          </xdr:cNvPr>
          <xdr:cNvSpPr txBox="1"/>
        </xdr:nvSpPr>
        <xdr:spPr>
          <a:xfrm>
            <a:off x="14968" y="8481326"/>
            <a:ext cx="1715406" cy="3269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80" name="Oval 79">
            <a:extLst>
              <a:ext uri="{FF2B5EF4-FFF2-40B4-BE49-F238E27FC236}">
                <a16:creationId xmlns:a16="http://schemas.microsoft.com/office/drawing/2014/main" id="{33FAA138-AB21-10A0-03DB-41D7E9A3FE4B}"/>
              </a:ext>
            </a:extLst>
          </xdr:cNvPr>
          <xdr:cNvSpPr/>
        </xdr:nvSpPr>
        <xdr:spPr>
          <a:xfrm>
            <a:off x="99776" y="8491925"/>
            <a:ext cx="286142" cy="29367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81" name="TextBox 80">
            <a:hlinkClick xmlns:r="http://schemas.openxmlformats.org/officeDocument/2006/relationships" r:id="rId19"/>
            <a:extLst>
              <a:ext uri="{FF2B5EF4-FFF2-40B4-BE49-F238E27FC236}">
                <a16:creationId xmlns:a16="http://schemas.microsoft.com/office/drawing/2014/main" id="{FED51896-C5CB-E8FD-0AE4-D97D9298B2B7}"/>
              </a:ext>
            </a:extLst>
          </xdr:cNvPr>
          <xdr:cNvSpPr txBox="1"/>
        </xdr:nvSpPr>
        <xdr:spPr>
          <a:xfrm>
            <a:off x="452060" y="8408439"/>
            <a:ext cx="982498" cy="4554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Sewage</a:t>
            </a:r>
          </a:p>
        </xdr:txBody>
      </xdr:sp>
    </xdr:grpSp>
    <xdr:clientData/>
  </xdr:twoCellAnchor>
  <xdr:twoCellAnchor>
    <xdr:from>
      <xdr:col>0</xdr:col>
      <xdr:colOff>6038</xdr:colOff>
      <xdr:row>14</xdr:row>
      <xdr:rowOff>89855</xdr:rowOff>
    </xdr:from>
    <xdr:to>
      <xdr:col>0</xdr:col>
      <xdr:colOff>1713207</xdr:colOff>
      <xdr:row>15</xdr:row>
      <xdr:rowOff>25282</xdr:rowOff>
    </xdr:to>
    <xdr:grpSp>
      <xdr:nvGrpSpPr>
        <xdr:cNvPr id="21" name="Group 20">
          <a:extLst>
            <a:ext uri="{FF2B5EF4-FFF2-40B4-BE49-F238E27FC236}">
              <a16:creationId xmlns:a16="http://schemas.microsoft.com/office/drawing/2014/main" id="{D2687C29-5C97-2562-4FBD-E1CC18BC6165}"/>
            </a:ext>
          </a:extLst>
        </xdr:cNvPr>
        <xdr:cNvGrpSpPr/>
      </xdr:nvGrpSpPr>
      <xdr:grpSpPr>
        <a:xfrm>
          <a:off x="6038" y="8934498"/>
          <a:ext cx="1707169" cy="487272"/>
          <a:chOff x="6283" y="8882925"/>
          <a:chExt cx="1725184" cy="479438"/>
        </a:xfrm>
      </xdr:grpSpPr>
      <xdr:sp macro="" textlink="">
        <xdr:nvSpPr>
          <xdr:cNvPr id="74" name="Rectangle: Rounded Corners 73">
            <a:extLst>
              <a:ext uri="{FF2B5EF4-FFF2-40B4-BE49-F238E27FC236}">
                <a16:creationId xmlns:a16="http://schemas.microsoft.com/office/drawing/2014/main" id="{5B677A54-10F0-2073-3D4F-6DB642AD9F0A}"/>
              </a:ext>
            </a:extLst>
          </xdr:cNvPr>
          <xdr:cNvSpPr/>
        </xdr:nvSpPr>
        <xdr:spPr>
          <a:xfrm>
            <a:off x="6283" y="8889447"/>
            <a:ext cx="1709047" cy="47272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5" name="TextBox 74">
            <a:hlinkClick xmlns:r="http://schemas.openxmlformats.org/officeDocument/2006/relationships" r:id="rId20"/>
            <a:extLst>
              <a:ext uri="{FF2B5EF4-FFF2-40B4-BE49-F238E27FC236}">
                <a16:creationId xmlns:a16="http://schemas.microsoft.com/office/drawing/2014/main" id="{AFD002F0-B620-E4F9-0244-3D3B801CC5B8}"/>
              </a:ext>
            </a:extLst>
          </xdr:cNvPr>
          <xdr:cNvSpPr txBox="1"/>
        </xdr:nvSpPr>
        <xdr:spPr>
          <a:xfrm>
            <a:off x="16061" y="8959666"/>
            <a:ext cx="1715406" cy="34417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6" name="Oval 75">
            <a:extLst>
              <a:ext uri="{FF2B5EF4-FFF2-40B4-BE49-F238E27FC236}">
                <a16:creationId xmlns:a16="http://schemas.microsoft.com/office/drawing/2014/main" id="{BC5B11B2-E64F-FFE1-27B6-E4510833115A}"/>
              </a:ext>
            </a:extLst>
          </xdr:cNvPr>
          <xdr:cNvSpPr/>
        </xdr:nvSpPr>
        <xdr:spPr>
          <a:xfrm>
            <a:off x="100869" y="8970826"/>
            <a:ext cx="286142" cy="30912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7" name="TextBox 76">
            <a:hlinkClick xmlns:r="http://schemas.openxmlformats.org/officeDocument/2006/relationships" r:id="rId20"/>
            <a:extLst>
              <a:ext uri="{FF2B5EF4-FFF2-40B4-BE49-F238E27FC236}">
                <a16:creationId xmlns:a16="http://schemas.microsoft.com/office/drawing/2014/main" id="{9D68A6D3-90EE-8E5D-4861-37124A38DD09}"/>
              </a:ext>
            </a:extLst>
          </xdr:cNvPr>
          <xdr:cNvSpPr txBox="1"/>
        </xdr:nvSpPr>
        <xdr:spPr>
          <a:xfrm>
            <a:off x="453153" y="8882925"/>
            <a:ext cx="982498" cy="4794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Scheduled Waste</a:t>
            </a:r>
          </a:p>
        </xdr:txBody>
      </xdr:sp>
    </xdr:grpSp>
    <xdr:clientData/>
  </xdr:twoCellAnchor>
  <xdr:twoCellAnchor>
    <xdr:from>
      <xdr:col>0</xdr:col>
      <xdr:colOff>4605</xdr:colOff>
      <xdr:row>15</xdr:row>
      <xdr:rowOff>550490</xdr:rowOff>
    </xdr:from>
    <xdr:to>
      <xdr:col>0</xdr:col>
      <xdr:colOff>1711774</xdr:colOff>
      <xdr:row>16</xdr:row>
      <xdr:rowOff>280403</xdr:rowOff>
    </xdr:to>
    <xdr:grpSp>
      <xdr:nvGrpSpPr>
        <xdr:cNvPr id="22" name="Group 21">
          <a:extLst>
            <a:ext uri="{FF2B5EF4-FFF2-40B4-BE49-F238E27FC236}">
              <a16:creationId xmlns:a16="http://schemas.microsoft.com/office/drawing/2014/main" id="{0676AE5A-FDE7-CCBC-4D23-898536353A47}"/>
            </a:ext>
          </a:extLst>
        </xdr:cNvPr>
        <xdr:cNvGrpSpPr/>
      </xdr:nvGrpSpPr>
      <xdr:grpSpPr>
        <a:xfrm>
          <a:off x="4605" y="9946978"/>
          <a:ext cx="1707169" cy="463187"/>
          <a:chOff x="4792" y="9884285"/>
          <a:chExt cx="1725184" cy="459044"/>
        </a:xfrm>
      </xdr:grpSpPr>
      <xdr:sp macro="" textlink="">
        <xdr:nvSpPr>
          <xdr:cNvPr id="70" name="Rectangle: Rounded Corners 69">
            <a:extLst>
              <a:ext uri="{FF2B5EF4-FFF2-40B4-BE49-F238E27FC236}">
                <a16:creationId xmlns:a16="http://schemas.microsoft.com/office/drawing/2014/main" id="{EF081D2C-B9A7-B21E-F02B-44D9A4808594}"/>
              </a:ext>
            </a:extLst>
          </xdr:cNvPr>
          <xdr:cNvSpPr/>
        </xdr:nvSpPr>
        <xdr:spPr>
          <a:xfrm>
            <a:off x="4792" y="9890528"/>
            <a:ext cx="1709047" cy="45262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71" name="TextBox 70">
            <a:hlinkClick xmlns:r="http://schemas.openxmlformats.org/officeDocument/2006/relationships" r:id="rId21"/>
            <a:extLst>
              <a:ext uri="{FF2B5EF4-FFF2-40B4-BE49-F238E27FC236}">
                <a16:creationId xmlns:a16="http://schemas.microsoft.com/office/drawing/2014/main" id="{8BAE26C4-6C2E-546A-4EAA-97834A731786}"/>
              </a:ext>
            </a:extLst>
          </xdr:cNvPr>
          <xdr:cNvSpPr txBox="1"/>
        </xdr:nvSpPr>
        <xdr:spPr>
          <a:xfrm>
            <a:off x="14570" y="9957751"/>
            <a:ext cx="1715406" cy="3295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72" name="Oval 71">
            <a:extLst>
              <a:ext uri="{FF2B5EF4-FFF2-40B4-BE49-F238E27FC236}">
                <a16:creationId xmlns:a16="http://schemas.microsoft.com/office/drawing/2014/main" id="{FF44AF89-887F-F1CB-459B-B6C138809B43}"/>
              </a:ext>
            </a:extLst>
          </xdr:cNvPr>
          <xdr:cNvSpPr/>
        </xdr:nvSpPr>
        <xdr:spPr>
          <a:xfrm>
            <a:off x="99378" y="9968435"/>
            <a:ext cx="286142" cy="296001"/>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73" name="TextBox 72">
            <a:hlinkClick xmlns:r="http://schemas.openxmlformats.org/officeDocument/2006/relationships" r:id="rId21"/>
            <a:extLst>
              <a:ext uri="{FF2B5EF4-FFF2-40B4-BE49-F238E27FC236}">
                <a16:creationId xmlns:a16="http://schemas.microsoft.com/office/drawing/2014/main" id="{DD075592-7D11-CC42-C235-E02DB36DF7BE}"/>
              </a:ext>
            </a:extLst>
          </xdr:cNvPr>
          <xdr:cNvSpPr txBox="1"/>
        </xdr:nvSpPr>
        <xdr:spPr>
          <a:xfrm>
            <a:off x="451662" y="9884285"/>
            <a:ext cx="982498" cy="4590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Diesel Emission</a:t>
            </a:r>
          </a:p>
        </xdr:txBody>
      </xdr:sp>
    </xdr:grpSp>
    <xdr:clientData/>
  </xdr:twoCellAnchor>
  <xdr:twoCellAnchor>
    <xdr:from>
      <xdr:col>0</xdr:col>
      <xdr:colOff>5368</xdr:colOff>
      <xdr:row>15</xdr:row>
      <xdr:rowOff>43265</xdr:rowOff>
    </xdr:from>
    <xdr:to>
      <xdr:col>0</xdr:col>
      <xdr:colOff>1712537</xdr:colOff>
      <xdr:row>15</xdr:row>
      <xdr:rowOff>526211</xdr:rowOff>
    </xdr:to>
    <xdr:grpSp>
      <xdr:nvGrpSpPr>
        <xdr:cNvPr id="23" name="Group 22">
          <a:extLst>
            <a:ext uri="{FF2B5EF4-FFF2-40B4-BE49-F238E27FC236}">
              <a16:creationId xmlns:a16="http://schemas.microsoft.com/office/drawing/2014/main" id="{AABD02C6-8705-C956-CF85-F2A6ABD51245}"/>
            </a:ext>
          </a:extLst>
        </xdr:cNvPr>
        <xdr:cNvGrpSpPr/>
      </xdr:nvGrpSpPr>
      <xdr:grpSpPr>
        <a:xfrm>
          <a:off x="5368" y="9439753"/>
          <a:ext cx="1707169" cy="482946"/>
          <a:chOff x="5586" y="9379532"/>
          <a:chExt cx="1725184" cy="481576"/>
        </a:xfrm>
      </xdr:grpSpPr>
      <xdr:sp macro="" textlink="">
        <xdr:nvSpPr>
          <xdr:cNvPr id="65" name="Rectangle: Rounded Corners 64">
            <a:extLst>
              <a:ext uri="{FF2B5EF4-FFF2-40B4-BE49-F238E27FC236}">
                <a16:creationId xmlns:a16="http://schemas.microsoft.com/office/drawing/2014/main" id="{47BBD9EC-92CE-9ED9-8FA4-A86BE7C35D51}"/>
              </a:ext>
            </a:extLst>
          </xdr:cNvPr>
          <xdr:cNvSpPr/>
        </xdr:nvSpPr>
        <xdr:spPr>
          <a:xfrm>
            <a:off x="5586" y="9386073"/>
            <a:ext cx="1709047" cy="474846"/>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6" name="TextBox 65">
            <a:hlinkClick xmlns:r="http://schemas.openxmlformats.org/officeDocument/2006/relationships" r:id="rId22"/>
            <a:extLst>
              <a:ext uri="{FF2B5EF4-FFF2-40B4-BE49-F238E27FC236}">
                <a16:creationId xmlns:a16="http://schemas.microsoft.com/office/drawing/2014/main" id="{016A2B25-2382-BD40-9909-6CEED0C90B90}"/>
              </a:ext>
            </a:extLst>
          </xdr:cNvPr>
          <xdr:cNvSpPr txBox="1"/>
        </xdr:nvSpPr>
        <xdr:spPr>
          <a:xfrm>
            <a:off x="15364" y="9457223"/>
            <a:ext cx="1715406" cy="3451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7" name="Oval 66">
            <a:extLst>
              <a:ext uri="{FF2B5EF4-FFF2-40B4-BE49-F238E27FC236}">
                <a16:creationId xmlns:a16="http://schemas.microsoft.com/office/drawing/2014/main" id="{D5456FD8-DB56-7135-FAAA-E60D244D388E}"/>
              </a:ext>
            </a:extLst>
          </xdr:cNvPr>
          <xdr:cNvSpPr/>
        </xdr:nvSpPr>
        <xdr:spPr>
          <a:xfrm>
            <a:off x="100172" y="9468416"/>
            <a:ext cx="286142" cy="30931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9" name="TextBox 68">
            <a:hlinkClick xmlns:r="http://schemas.openxmlformats.org/officeDocument/2006/relationships" r:id="rId22"/>
            <a:extLst>
              <a:ext uri="{FF2B5EF4-FFF2-40B4-BE49-F238E27FC236}">
                <a16:creationId xmlns:a16="http://schemas.microsoft.com/office/drawing/2014/main" id="{F8FF6402-8F45-4FB2-C17C-F07F68771130}"/>
              </a:ext>
            </a:extLst>
          </xdr:cNvPr>
          <xdr:cNvSpPr txBox="1"/>
        </xdr:nvSpPr>
        <xdr:spPr>
          <a:xfrm>
            <a:off x="452456" y="9379532"/>
            <a:ext cx="982498" cy="4815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200">
                <a:solidFill>
                  <a:schemeClr val="accent6">
                    <a:lumMod val="50000"/>
                  </a:schemeClr>
                </a:solidFill>
              </a:rPr>
              <a:t>Solid</a:t>
            </a:r>
            <a:r>
              <a:rPr lang="en-US" sz="1200" baseline="0">
                <a:solidFill>
                  <a:schemeClr val="accent6">
                    <a:lumMod val="50000"/>
                  </a:schemeClr>
                </a:solidFill>
              </a:rPr>
              <a:t> Waste</a:t>
            </a:r>
            <a:endParaRPr lang="en-US" sz="1200">
              <a:solidFill>
                <a:schemeClr val="accent6">
                  <a:lumMod val="50000"/>
                </a:schemeClr>
              </a:solidFill>
            </a:endParaRPr>
          </a:p>
        </xdr:txBody>
      </xdr:sp>
    </xdr:grpSp>
    <xdr:clientData/>
  </xdr:twoCellAnchor>
  <xdr:twoCellAnchor>
    <xdr:from>
      <xdr:col>0</xdr:col>
      <xdr:colOff>3836</xdr:colOff>
      <xdr:row>16</xdr:row>
      <xdr:rowOff>288802</xdr:rowOff>
    </xdr:from>
    <xdr:to>
      <xdr:col>0</xdr:col>
      <xdr:colOff>1711005</xdr:colOff>
      <xdr:row>17</xdr:row>
      <xdr:rowOff>231599</xdr:rowOff>
    </xdr:to>
    <xdr:grpSp>
      <xdr:nvGrpSpPr>
        <xdr:cNvPr id="24" name="Group 23">
          <a:extLst>
            <a:ext uri="{FF2B5EF4-FFF2-40B4-BE49-F238E27FC236}">
              <a16:creationId xmlns:a16="http://schemas.microsoft.com/office/drawing/2014/main" id="{8A3B3FAB-7CBE-56EC-FAE0-F80F3AF1C86C}"/>
            </a:ext>
          </a:extLst>
        </xdr:cNvPr>
        <xdr:cNvGrpSpPr/>
      </xdr:nvGrpSpPr>
      <xdr:grpSpPr>
        <a:xfrm>
          <a:off x="3836" y="10418564"/>
          <a:ext cx="1707169" cy="494642"/>
          <a:chOff x="3992" y="10358190"/>
          <a:chExt cx="1725184" cy="486476"/>
        </a:xfrm>
      </xdr:grpSpPr>
      <xdr:sp macro="" textlink="">
        <xdr:nvSpPr>
          <xdr:cNvPr id="61" name="Rectangle: Rounded Corners 60">
            <a:extLst>
              <a:ext uri="{FF2B5EF4-FFF2-40B4-BE49-F238E27FC236}">
                <a16:creationId xmlns:a16="http://schemas.microsoft.com/office/drawing/2014/main" id="{1B2F28B3-F0B3-4CED-1134-405FBD199430}"/>
              </a:ext>
            </a:extLst>
          </xdr:cNvPr>
          <xdr:cNvSpPr/>
        </xdr:nvSpPr>
        <xdr:spPr>
          <a:xfrm>
            <a:off x="3992" y="10364808"/>
            <a:ext cx="1709047" cy="479667"/>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62" name="TextBox 61">
            <a:hlinkClick xmlns:r="http://schemas.openxmlformats.org/officeDocument/2006/relationships" r:id="rId23"/>
            <a:extLst>
              <a:ext uri="{FF2B5EF4-FFF2-40B4-BE49-F238E27FC236}">
                <a16:creationId xmlns:a16="http://schemas.microsoft.com/office/drawing/2014/main" id="{DA3A8F0E-0B2C-508F-19AD-AEDB82F28AE1}"/>
              </a:ext>
            </a:extLst>
          </xdr:cNvPr>
          <xdr:cNvSpPr txBox="1"/>
        </xdr:nvSpPr>
        <xdr:spPr>
          <a:xfrm>
            <a:off x="13770" y="10436061"/>
            <a:ext cx="1715406" cy="34921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63" name="Oval 62">
            <a:extLst>
              <a:ext uri="{FF2B5EF4-FFF2-40B4-BE49-F238E27FC236}">
                <a16:creationId xmlns:a16="http://schemas.microsoft.com/office/drawing/2014/main" id="{A35CCA6A-34F1-3DCE-0FF2-6BEDB0F61542}"/>
              </a:ext>
            </a:extLst>
          </xdr:cNvPr>
          <xdr:cNvSpPr/>
        </xdr:nvSpPr>
        <xdr:spPr>
          <a:xfrm>
            <a:off x="98578" y="10447385"/>
            <a:ext cx="286142" cy="313659"/>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4" name="TextBox 63">
            <a:hlinkClick xmlns:r="http://schemas.openxmlformats.org/officeDocument/2006/relationships" r:id="rId23"/>
            <a:extLst>
              <a:ext uri="{FF2B5EF4-FFF2-40B4-BE49-F238E27FC236}">
                <a16:creationId xmlns:a16="http://schemas.microsoft.com/office/drawing/2014/main" id="{2DCA73AA-DBA8-6B44-1CF6-DEA3907A53C4}"/>
              </a:ext>
            </a:extLst>
          </xdr:cNvPr>
          <xdr:cNvSpPr txBox="1"/>
        </xdr:nvSpPr>
        <xdr:spPr>
          <a:xfrm>
            <a:off x="450862" y="10358190"/>
            <a:ext cx="982498" cy="4864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Petrol/Diesel Control</a:t>
            </a:r>
          </a:p>
        </xdr:txBody>
      </xdr:sp>
    </xdr:grpSp>
    <xdr:clientData/>
  </xdr:twoCellAnchor>
  <xdr:twoCellAnchor>
    <xdr:from>
      <xdr:col>0</xdr:col>
      <xdr:colOff>6380</xdr:colOff>
      <xdr:row>23</xdr:row>
      <xdr:rowOff>17358</xdr:rowOff>
    </xdr:from>
    <xdr:to>
      <xdr:col>0</xdr:col>
      <xdr:colOff>1713549</xdr:colOff>
      <xdr:row>24</xdr:row>
      <xdr:rowOff>114595</xdr:rowOff>
    </xdr:to>
    <xdr:grpSp>
      <xdr:nvGrpSpPr>
        <xdr:cNvPr id="25" name="Group 24">
          <a:extLst>
            <a:ext uri="{FF2B5EF4-FFF2-40B4-BE49-F238E27FC236}">
              <a16:creationId xmlns:a16="http://schemas.microsoft.com/office/drawing/2014/main" id="{2191DD63-87E0-1C46-1052-4DB607D3A7E9}"/>
            </a:ext>
          </a:extLst>
        </xdr:cNvPr>
        <xdr:cNvGrpSpPr/>
      </xdr:nvGrpSpPr>
      <xdr:grpSpPr>
        <a:xfrm>
          <a:off x="6380" y="12921465"/>
          <a:ext cx="1707169" cy="467654"/>
          <a:chOff x="3415" y="11846315"/>
          <a:chExt cx="1725184" cy="456487"/>
        </a:xfrm>
      </xdr:grpSpPr>
      <xdr:sp macro="" textlink="">
        <xdr:nvSpPr>
          <xdr:cNvPr id="57" name="Rectangle: Rounded Corners 56">
            <a:extLst>
              <a:ext uri="{FF2B5EF4-FFF2-40B4-BE49-F238E27FC236}">
                <a16:creationId xmlns:a16="http://schemas.microsoft.com/office/drawing/2014/main" id="{0EDC1F58-E2D3-55B7-8C43-F5DA182D2928}"/>
              </a:ext>
            </a:extLst>
          </xdr:cNvPr>
          <xdr:cNvSpPr/>
        </xdr:nvSpPr>
        <xdr:spPr>
          <a:xfrm>
            <a:off x="3415" y="11852523"/>
            <a:ext cx="1709047" cy="450098"/>
          </a:xfrm>
          <a:prstGeom prst="roundRect">
            <a:avLst>
              <a:gd name="adj" fmla="val 6708"/>
            </a:avLst>
          </a:prstGeom>
          <a:solidFill>
            <a:srgbClr val="60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8" name="TextBox 57">
            <a:hlinkClick xmlns:r="http://schemas.openxmlformats.org/officeDocument/2006/relationships" r:id="rId23"/>
            <a:extLst>
              <a:ext uri="{FF2B5EF4-FFF2-40B4-BE49-F238E27FC236}">
                <a16:creationId xmlns:a16="http://schemas.microsoft.com/office/drawing/2014/main" id="{0CF94692-F7D2-86F8-C47D-65B1A8BEF754}"/>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bg1"/>
                </a:solidFill>
                <a:sym typeface="Webdings" panose="05030102010509060703" pitchFamily="18" charset="2"/>
              </a:rPr>
              <a:t></a:t>
            </a:r>
            <a:endParaRPr lang="en-US" sz="1600">
              <a:solidFill>
                <a:schemeClr val="bg1"/>
              </a:solidFill>
            </a:endParaRPr>
          </a:p>
        </xdr:txBody>
      </xdr:sp>
      <xdr:sp macro="" textlink="">
        <xdr:nvSpPr>
          <xdr:cNvPr id="59" name="Oval 58">
            <a:extLst>
              <a:ext uri="{FF2B5EF4-FFF2-40B4-BE49-F238E27FC236}">
                <a16:creationId xmlns:a16="http://schemas.microsoft.com/office/drawing/2014/main" id="{AF0B42B8-E328-6AD3-28AE-AA3F971737E8}"/>
              </a:ext>
            </a:extLst>
          </xdr:cNvPr>
          <xdr:cNvSpPr/>
        </xdr:nvSpPr>
        <xdr:spPr>
          <a:xfrm>
            <a:off x="98001" y="11929995"/>
            <a:ext cx="286142" cy="294355"/>
          </a:xfrm>
          <a:prstGeom prst="ellipse">
            <a:avLst/>
          </a:prstGeom>
          <a:solidFill>
            <a:schemeClr val="bg1"/>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60" name="TextBox 59">
            <a:hlinkClick xmlns:r="http://schemas.openxmlformats.org/officeDocument/2006/relationships" r:id="rId24"/>
            <a:extLst>
              <a:ext uri="{FF2B5EF4-FFF2-40B4-BE49-F238E27FC236}">
                <a16:creationId xmlns:a16="http://schemas.microsoft.com/office/drawing/2014/main" id="{1D8B2CA8-3F1E-D8EF-9B3A-05EADCA34FBC}"/>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bg1"/>
                </a:solidFill>
              </a:rPr>
              <a:t>ICOP</a:t>
            </a:r>
            <a:r>
              <a:rPr lang="en-US" sz="1200" baseline="0">
                <a:solidFill>
                  <a:schemeClr val="bg1"/>
                </a:solidFill>
              </a:rPr>
              <a:t> Road Transport</a:t>
            </a:r>
            <a:endParaRPr lang="en-US" sz="1200">
              <a:solidFill>
                <a:schemeClr val="bg1"/>
              </a:solidFill>
            </a:endParaRPr>
          </a:p>
        </xdr:txBody>
      </xdr:sp>
    </xdr:grpSp>
    <xdr:clientData/>
  </xdr:twoCellAnchor>
  <xdr:twoCellAnchor>
    <xdr:from>
      <xdr:col>0</xdr:col>
      <xdr:colOff>5499</xdr:colOff>
      <xdr:row>17</xdr:row>
      <xdr:rowOff>248916</xdr:rowOff>
    </xdr:from>
    <xdr:to>
      <xdr:col>0</xdr:col>
      <xdr:colOff>1712668</xdr:colOff>
      <xdr:row>18</xdr:row>
      <xdr:rowOff>336194</xdr:rowOff>
    </xdr:to>
    <xdr:grpSp>
      <xdr:nvGrpSpPr>
        <xdr:cNvPr id="26" name="Group 25">
          <a:extLst>
            <a:ext uri="{FF2B5EF4-FFF2-40B4-BE49-F238E27FC236}">
              <a16:creationId xmlns:a16="http://schemas.microsoft.com/office/drawing/2014/main" id="{D0AEAB7B-A5E8-6868-EBEE-F7191D97E4BC}"/>
            </a:ext>
          </a:extLst>
        </xdr:cNvPr>
        <xdr:cNvGrpSpPr/>
      </xdr:nvGrpSpPr>
      <xdr:grpSpPr>
        <a:xfrm>
          <a:off x="5499" y="10930523"/>
          <a:ext cx="1707169" cy="457695"/>
          <a:chOff x="5723" y="10874564"/>
          <a:chExt cx="1725184" cy="455447"/>
        </a:xfrm>
      </xdr:grpSpPr>
      <xdr:sp macro="" textlink="">
        <xdr:nvSpPr>
          <xdr:cNvPr id="53" name="Rectangle: Rounded Corners 52">
            <a:extLst>
              <a:ext uri="{FF2B5EF4-FFF2-40B4-BE49-F238E27FC236}">
                <a16:creationId xmlns:a16="http://schemas.microsoft.com/office/drawing/2014/main" id="{FAEABCAA-D517-F708-E314-DA7EBB9741B0}"/>
              </a:ext>
            </a:extLst>
          </xdr:cNvPr>
          <xdr:cNvSpPr/>
        </xdr:nvSpPr>
        <xdr:spPr>
          <a:xfrm>
            <a:off x="5723" y="10880778"/>
            <a:ext cx="1709061" cy="44905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4" name="TextBox 53">
            <a:hlinkClick xmlns:r="http://schemas.openxmlformats.org/officeDocument/2006/relationships" r:id="rId25"/>
            <a:extLst>
              <a:ext uri="{FF2B5EF4-FFF2-40B4-BE49-F238E27FC236}">
                <a16:creationId xmlns:a16="http://schemas.microsoft.com/office/drawing/2014/main" id="{F854E8E8-0624-E172-1BC3-D57028F5F0A0}"/>
              </a:ext>
            </a:extLst>
          </xdr:cNvPr>
          <xdr:cNvSpPr txBox="1"/>
        </xdr:nvSpPr>
        <xdr:spPr>
          <a:xfrm>
            <a:off x="15493" y="10947685"/>
            <a:ext cx="1715414" cy="326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5" name="Oval 54">
            <a:extLst>
              <a:ext uri="{FF2B5EF4-FFF2-40B4-BE49-F238E27FC236}">
                <a16:creationId xmlns:a16="http://schemas.microsoft.com/office/drawing/2014/main" id="{E071B050-A7F4-7B11-9010-BF04A9D4DAEB}"/>
              </a:ext>
            </a:extLst>
          </xdr:cNvPr>
          <xdr:cNvSpPr/>
        </xdr:nvSpPr>
        <xdr:spPr>
          <a:xfrm>
            <a:off x="100230" y="10958319"/>
            <a:ext cx="285902" cy="293170"/>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6" name="TextBox 55">
            <a:hlinkClick xmlns:r="http://schemas.openxmlformats.org/officeDocument/2006/relationships" r:id="rId25"/>
            <a:extLst>
              <a:ext uri="{FF2B5EF4-FFF2-40B4-BE49-F238E27FC236}">
                <a16:creationId xmlns:a16="http://schemas.microsoft.com/office/drawing/2014/main" id="{06354150-C2D6-2C20-5708-0AA82F873404}"/>
              </a:ext>
            </a:extLst>
          </xdr:cNvPr>
          <xdr:cNvSpPr txBox="1"/>
        </xdr:nvSpPr>
        <xdr:spPr>
          <a:xfrm>
            <a:off x="452219" y="10874564"/>
            <a:ext cx="983120" cy="4554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Refrigerant</a:t>
            </a:r>
          </a:p>
        </xdr:txBody>
      </xdr:sp>
    </xdr:grpSp>
    <xdr:clientData/>
  </xdr:twoCellAnchor>
  <xdr:twoCellAnchor>
    <xdr:from>
      <xdr:col>0</xdr:col>
      <xdr:colOff>4302</xdr:colOff>
      <xdr:row>18</xdr:row>
      <xdr:rowOff>355032</xdr:rowOff>
    </xdr:from>
    <xdr:to>
      <xdr:col>0</xdr:col>
      <xdr:colOff>1711471</xdr:colOff>
      <xdr:row>20</xdr:row>
      <xdr:rowOff>106909</xdr:rowOff>
    </xdr:to>
    <xdr:grpSp>
      <xdr:nvGrpSpPr>
        <xdr:cNvPr id="27" name="Group 26">
          <a:extLst>
            <a:ext uri="{FF2B5EF4-FFF2-40B4-BE49-F238E27FC236}">
              <a16:creationId xmlns:a16="http://schemas.microsoft.com/office/drawing/2014/main" id="{C89DE0A9-0D1B-1CC8-6F64-29E6817C10B0}"/>
            </a:ext>
          </a:extLst>
        </xdr:cNvPr>
        <xdr:cNvGrpSpPr/>
      </xdr:nvGrpSpPr>
      <xdr:grpSpPr>
        <a:xfrm>
          <a:off x="4302" y="11407056"/>
          <a:ext cx="1707169" cy="492710"/>
          <a:chOff x="4477" y="11347997"/>
          <a:chExt cx="1725184" cy="480012"/>
        </a:xfrm>
      </xdr:grpSpPr>
      <xdr:sp macro="" textlink="">
        <xdr:nvSpPr>
          <xdr:cNvPr id="49" name="Rectangle: Rounded Corners 48">
            <a:extLst>
              <a:ext uri="{FF2B5EF4-FFF2-40B4-BE49-F238E27FC236}">
                <a16:creationId xmlns:a16="http://schemas.microsoft.com/office/drawing/2014/main" id="{214A79A3-36D7-66DB-552C-D0940C63C9B3}"/>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50" name="TextBox 49">
            <a:hlinkClick xmlns:r="http://schemas.openxmlformats.org/officeDocument/2006/relationships" r:id="rId26"/>
            <a:extLst>
              <a:ext uri="{FF2B5EF4-FFF2-40B4-BE49-F238E27FC236}">
                <a16:creationId xmlns:a16="http://schemas.microsoft.com/office/drawing/2014/main" id="{0E61100F-B75E-FB9A-9882-FAF09115E98A}"/>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51" name="Oval 50">
            <a:extLst>
              <a:ext uri="{FF2B5EF4-FFF2-40B4-BE49-F238E27FC236}">
                <a16:creationId xmlns:a16="http://schemas.microsoft.com/office/drawing/2014/main" id="{26546063-6B15-29BD-B282-E830368E008C}"/>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52" name="TextBox 51">
            <a:hlinkClick xmlns:r="http://schemas.openxmlformats.org/officeDocument/2006/relationships" r:id="rId26"/>
            <a:extLst>
              <a:ext uri="{FF2B5EF4-FFF2-40B4-BE49-F238E27FC236}">
                <a16:creationId xmlns:a16="http://schemas.microsoft.com/office/drawing/2014/main" id="{F7FAF8F1-B099-EE29-0474-5E9BFD294ED4}"/>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Fire Certificate</a:t>
            </a:r>
          </a:p>
        </xdr:txBody>
      </xdr:sp>
    </xdr:grpSp>
    <xdr:clientData/>
  </xdr:twoCellAnchor>
  <xdr:twoCellAnchor>
    <xdr:from>
      <xdr:col>0</xdr:col>
      <xdr:colOff>0</xdr:colOff>
      <xdr:row>11</xdr:row>
      <xdr:rowOff>309897</xdr:rowOff>
    </xdr:from>
    <xdr:to>
      <xdr:col>0</xdr:col>
      <xdr:colOff>1707169</xdr:colOff>
      <xdr:row>12</xdr:row>
      <xdr:rowOff>58716</xdr:rowOff>
    </xdr:to>
    <xdr:grpSp>
      <xdr:nvGrpSpPr>
        <xdr:cNvPr id="28" name="Group 27">
          <a:extLst>
            <a:ext uri="{FF2B5EF4-FFF2-40B4-BE49-F238E27FC236}">
              <a16:creationId xmlns:a16="http://schemas.microsoft.com/office/drawing/2014/main" id="{6F604CCB-72AB-6C31-D823-FD2CE2545D34}"/>
            </a:ext>
          </a:extLst>
        </xdr:cNvPr>
        <xdr:cNvGrpSpPr/>
      </xdr:nvGrpSpPr>
      <xdr:grpSpPr>
        <a:xfrm>
          <a:off x="0" y="6954718"/>
          <a:ext cx="1707169" cy="482093"/>
          <a:chOff x="0" y="6922179"/>
          <a:chExt cx="1725184" cy="482848"/>
        </a:xfrm>
      </xdr:grpSpPr>
      <xdr:sp macro="" textlink="">
        <xdr:nvSpPr>
          <xdr:cNvPr id="45" name="Rectangle: Rounded Corners 44">
            <a:extLst>
              <a:ext uri="{FF2B5EF4-FFF2-40B4-BE49-F238E27FC236}">
                <a16:creationId xmlns:a16="http://schemas.microsoft.com/office/drawing/2014/main" id="{916AA2A4-6C1C-DC03-70AC-0B4378A0187E}"/>
              </a:ext>
            </a:extLst>
          </xdr:cNvPr>
          <xdr:cNvSpPr/>
        </xdr:nvSpPr>
        <xdr:spPr>
          <a:xfrm>
            <a:off x="0" y="6928737"/>
            <a:ext cx="1709047" cy="476100"/>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6" name="TextBox 45">
            <a:hlinkClick xmlns:r="http://schemas.openxmlformats.org/officeDocument/2006/relationships" r:id="rId16"/>
            <a:extLst>
              <a:ext uri="{FF2B5EF4-FFF2-40B4-BE49-F238E27FC236}">
                <a16:creationId xmlns:a16="http://schemas.microsoft.com/office/drawing/2014/main" id="{34DEE00B-DE9C-7E62-F8AB-0F303CDB6AE0}"/>
              </a:ext>
            </a:extLst>
          </xdr:cNvPr>
          <xdr:cNvSpPr txBox="1"/>
        </xdr:nvSpPr>
        <xdr:spPr>
          <a:xfrm>
            <a:off x="9778" y="6999351"/>
            <a:ext cx="1715406" cy="3460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47" name="Oval 46">
            <a:extLst>
              <a:ext uri="{FF2B5EF4-FFF2-40B4-BE49-F238E27FC236}">
                <a16:creationId xmlns:a16="http://schemas.microsoft.com/office/drawing/2014/main" id="{4E290131-68E8-791C-94D5-26AF8A4A3DA2}"/>
              </a:ext>
            </a:extLst>
          </xdr:cNvPr>
          <xdr:cNvSpPr/>
        </xdr:nvSpPr>
        <xdr:spPr>
          <a:xfrm>
            <a:off x="94586" y="7010574"/>
            <a:ext cx="286142" cy="310857"/>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8" name="TextBox 47">
            <a:hlinkClick xmlns:r="http://schemas.openxmlformats.org/officeDocument/2006/relationships" r:id="rId27"/>
            <a:extLst>
              <a:ext uri="{FF2B5EF4-FFF2-40B4-BE49-F238E27FC236}">
                <a16:creationId xmlns:a16="http://schemas.microsoft.com/office/drawing/2014/main" id="{9CAD05AD-DDDC-B6B3-E46C-7DC47809FA89}"/>
              </a:ext>
            </a:extLst>
          </xdr:cNvPr>
          <xdr:cNvSpPr txBox="1"/>
        </xdr:nvSpPr>
        <xdr:spPr>
          <a:xfrm>
            <a:off x="446870" y="6922179"/>
            <a:ext cx="982498" cy="4828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rIns="0" rtlCol="0" anchor="ctr" anchorCtr="0">
            <a:noAutofit/>
          </a:bodyPr>
          <a:lstStyle/>
          <a:p>
            <a:pPr algn="l"/>
            <a:r>
              <a:rPr lang="en-US" sz="1600">
                <a:solidFill>
                  <a:schemeClr val="accent6">
                    <a:lumMod val="50000"/>
                  </a:schemeClr>
                </a:solidFill>
              </a:rPr>
              <a:t>CLASS</a:t>
            </a:r>
          </a:p>
        </xdr:txBody>
      </xdr:sp>
    </xdr:grpSp>
    <xdr:clientData/>
  </xdr:twoCellAnchor>
  <xdr:twoCellAnchor>
    <xdr:from>
      <xdr:col>0</xdr:col>
      <xdr:colOff>3912</xdr:colOff>
      <xdr:row>24</xdr:row>
      <xdr:rowOff>136271</xdr:rowOff>
    </xdr:from>
    <xdr:to>
      <xdr:col>0</xdr:col>
      <xdr:colOff>1711081</xdr:colOff>
      <xdr:row>25</xdr:row>
      <xdr:rowOff>263137</xdr:rowOff>
    </xdr:to>
    <xdr:grpSp>
      <xdr:nvGrpSpPr>
        <xdr:cNvPr id="29" name="Group 28">
          <a:extLst>
            <a:ext uri="{FF2B5EF4-FFF2-40B4-BE49-F238E27FC236}">
              <a16:creationId xmlns:a16="http://schemas.microsoft.com/office/drawing/2014/main" id="{6224BF16-80BA-3001-51D0-39163DDE2436}"/>
            </a:ext>
          </a:extLst>
        </xdr:cNvPr>
        <xdr:cNvGrpSpPr/>
      </xdr:nvGrpSpPr>
      <xdr:grpSpPr>
        <a:xfrm>
          <a:off x="3912" y="13410795"/>
          <a:ext cx="1707169" cy="497282"/>
          <a:chOff x="847" y="12324893"/>
          <a:chExt cx="1725184" cy="486884"/>
        </a:xfrm>
      </xdr:grpSpPr>
      <xdr:sp macro="" textlink="">
        <xdr:nvSpPr>
          <xdr:cNvPr id="41" name="Rectangle: Rounded Corners 40">
            <a:extLst>
              <a:ext uri="{FF2B5EF4-FFF2-40B4-BE49-F238E27FC236}">
                <a16:creationId xmlns:a16="http://schemas.microsoft.com/office/drawing/2014/main" id="{5DA28165-95D9-6BBC-B72A-0D8BE0A888D4}"/>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42" name="TextBox 41">
            <a:hlinkClick xmlns:r="http://schemas.openxmlformats.org/officeDocument/2006/relationships" r:id="rId28"/>
            <a:extLst>
              <a:ext uri="{FF2B5EF4-FFF2-40B4-BE49-F238E27FC236}">
                <a16:creationId xmlns:a16="http://schemas.microsoft.com/office/drawing/2014/main" id="{010D896E-2825-BC83-BD82-7DDEDB81999A}"/>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43" name="Oval 42">
            <a:extLst>
              <a:ext uri="{FF2B5EF4-FFF2-40B4-BE49-F238E27FC236}">
                <a16:creationId xmlns:a16="http://schemas.microsoft.com/office/drawing/2014/main" id="{51457802-CC03-D349-8C8B-A62F257F5795}"/>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4" name="TextBox 43">
            <a:hlinkClick xmlns:r="http://schemas.openxmlformats.org/officeDocument/2006/relationships" r:id="rId28"/>
            <a:extLst>
              <a:ext uri="{FF2B5EF4-FFF2-40B4-BE49-F238E27FC236}">
                <a16:creationId xmlns:a16="http://schemas.microsoft.com/office/drawing/2014/main" id="{077245B6-F562-A803-A89D-D33904BC17D8}"/>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Sewerage System Rules</a:t>
            </a:r>
          </a:p>
        </xdr:txBody>
      </xdr:sp>
    </xdr:grpSp>
    <xdr:clientData/>
  </xdr:twoCellAnchor>
  <xdr:twoCellAnchor>
    <xdr:from>
      <xdr:col>0</xdr:col>
      <xdr:colOff>73224</xdr:colOff>
      <xdr:row>28</xdr:row>
      <xdr:rowOff>121154</xdr:rowOff>
    </xdr:from>
    <xdr:to>
      <xdr:col>0</xdr:col>
      <xdr:colOff>1662383</xdr:colOff>
      <xdr:row>29</xdr:row>
      <xdr:rowOff>134893</xdr:rowOff>
    </xdr:to>
    <xdr:sp macro="" textlink="">
      <xdr:nvSpPr>
        <xdr:cNvPr id="30" name="TextBox 29">
          <a:extLst>
            <a:ext uri="{FF2B5EF4-FFF2-40B4-BE49-F238E27FC236}">
              <a16:creationId xmlns:a16="http://schemas.microsoft.com/office/drawing/2014/main" id="{496D61A1-976A-9439-8633-BF934D413D5E}"/>
            </a:ext>
          </a:extLst>
        </xdr:cNvPr>
        <xdr:cNvSpPr txBox="1"/>
      </xdr:nvSpPr>
      <xdr:spPr>
        <a:xfrm>
          <a:off x="73224" y="14502809"/>
          <a:ext cx="1589159" cy="197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800" b="0" i="0">
              <a:solidFill>
                <a:schemeClr val="bg1"/>
              </a:solidFill>
              <a:effectLst/>
              <a:latin typeface="Arial Narrow" panose="020B0606020202030204" pitchFamily="34" charset="0"/>
              <a:ea typeface="+mn-ea"/>
              <a:cs typeface="+mn-cs"/>
            </a:rPr>
            <a:t>© 2026 PLUS. All Rights Reserved.</a:t>
          </a:r>
          <a:endParaRPr lang="en-US" sz="800">
            <a:solidFill>
              <a:schemeClr val="bg1"/>
            </a:solidFill>
            <a:latin typeface="Arial Narrow" panose="020B0606020202030204" pitchFamily="34" charset="0"/>
          </a:endParaRPr>
        </a:p>
      </xdr:txBody>
    </xdr:sp>
    <xdr:clientData/>
  </xdr:twoCellAnchor>
  <xdr:twoCellAnchor>
    <xdr:from>
      <xdr:col>0</xdr:col>
      <xdr:colOff>5742</xdr:colOff>
      <xdr:row>20</xdr:row>
      <xdr:rowOff>119454</xdr:rowOff>
    </xdr:from>
    <xdr:to>
      <xdr:col>0</xdr:col>
      <xdr:colOff>1711953</xdr:colOff>
      <xdr:row>21</xdr:row>
      <xdr:rowOff>239631</xdr:rowOff>
    </xdr:to>
    <xdr:grpSp>
      <xdr:nvGrpSpPr>
        <xdr:cNvPr id="31" name="Group 30">
          <a:extLst>
            <a:ext uri="{FF2B5EF4-FFF2-40B4-BE49-F238E27FC236}">
              <a16:creationId xmlns:a16="http://schemas.microsoft.com/office/drawing/2014/main" id="{DFE7798B-FECF-4C9A-C93F-CB2DED9DCAD5}"/>
            </a:ext>
          </a:extLst>
        </xdr:cNvPr>
        <xdr:cNvGrpSpPr/>
      </xdr:nvGrpSpPr>
      <xdr:grpSpPr>
        <a:xfrm>
          <a:off x="5742" y="11912311"/>
          <a:ext cx="1706211" cy="490594"/>
          <a:chOff x="4477" y="11347997"/>
          <a:chExt cx="1725184" cy="480012"/>
        </a:xfrm>
      </xdr:grpSpPr>
      <xdr:sp macro="" textlink="">
        <xdr:nvSpPr>
          <xdr:cNvPr id="37" name="Rectangle: Rounded Corners 36">
            <a:extLst>
              <a:ext uri="{FF2B5EF4-FFF2-40B4-BE49-F238E27FC236}">
                <a16:creationId xmlns:a16="http://schemas.microsoft.com/office/drawing/2014/main" id="{5199A9DF-3862-8CC8-6F63-90244CE82FD1}"/>
              </a:ext>
            </a:extLst>
          </xdr:cNvPr>
          <xdr:cNvSpPr/>
        </xdr:nvSpPr>
        <xdr:spPr>
          <a:xfrm>
            <a:off x="4477" y="11354526"/>
            <a:ext cx="1709047" cy="473293"/>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8" name="TextBox 37">
            <a:hlinkClick xmlns:r="http://schemas.openxmlformats.org/officeDocument/2006/relationships" r:id="rId29"/>
            <a:extLst>
              <a:ext uri="{FF2B5EF4-FFF2-40B4-BE49-F238E27FC236}">
                <a16:creationId xmlns:a16="http://schemas.microsoft.com/office/drawing/2014/main" id="{EA96E164-9C90-0F61-EE79-9504343DB034}"/>
              </a:ext>
            </a:extLst>
          </xdr:cNvPr>
          <xdr:cNvSpPr txBox="1"/>
        </xdr:nvSpPr>
        <xdr:spPr>
          <a:xfrm>
            <a:off x="14255" y="11424830"/>
            <a:ext cx="1715406" cy="3445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chemeClr val="accent6">
                    <a:lumMod val="50000"/>
                  </a:schemeClr>
                </a:solidFill>
                <a:sym typeface="Webdings" panose="05030102010509060703" pitchFamily="18" charset="2"/>
              </a:rPr>
              <a:t></a:t>
            </a:r>
            <a:endParaRPr lang="en-US" sz="1600">
              <a:solidFill>
                <a:schemeClr val="accent6">
                  <a:lumMod val="50000"/>
                </a:schemeClr>
              </a:solidFill>
            </a:endParaRPr>
          </a:p>
        </xdr:txBody>
      </xdr:sp>
      <xdr:sp macro="" textlink="">
        <xdr:nvSpPr>
          <xdr:cNvPr id="39" name="Oval 38">
            <a:extLst>
              <a:ext uri="{FF2B5EF4-FFF2-40B4-BE49-F238E27FC236}">
                <a16:creationId xmlns:a16="http://schemas.microsoft.com/office/drawing/2014/main" id="{B27F2FB0-13AA-0590-589D-85E1689411AB}"/>
              </a:ext>
            </a:extLst>
          </xdr:cNvPr>
          <xdr:cNvSpPr/>
        </xdr:nvSpPr>
        <xdr:spPr>
          <a:xfrm>
            <a:off x="99063" y="11436003"/>
            <a:ext cx="286142" cy="309498"/>
          </a:xfrm>
          <a:prstGeom prst="ellipse">
            <a:avLst/>
          </a:prstGeom>
          <a:solidFill>
            <a:schemeClr val="accent6">
              <a:lumMod val="75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40" name="TextBox 39">
            <a:hlinkClick xmlns:r="http://schemas.openxmlformats.org/officeDocument/2006/relationships" r:id="rId29"/>
            <a:extLst>
              <a:ext uri="{FF2B5EF4-FFF2-40B4-BE49-F238E27FC236}">
                <a16:creationId xmlns:a16="http://schemas.microsoft.com/office/drawing/2014/main" id="{C854BA5E-ADFA-BACE-6562-FBD6F3672CAC}"/>
              </a:ext>
            </a:extLst>
          </xdr:cNvPr>
          <xdr:cNvSpPr txBox="1"/>
        </xdr:nvSpPr>
        <xdr:spPr>
          <a:xfrm>
            <a:off x="451347" y="11347997"/>
            <a:ext cx="982498" cy="4800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chemeClr val="accent6">
                    <a:lumMod val="50000"/>
                  </a:schemeClr>
                </a:solidFill>
              </a:rPr>
              <a:t>Pesticides Labelling</a:t>
            </a:r>
          </a:p>
        </xdr:txBody>
      </xdr:sp>
    </xdr:grpSp>
    <xdr:clientData/>
  </xdr:twoCellAnchor>
  <xdr:twoCellAnchor>
    <xdr:from>
      <xdr:col>0</xdr:col>
      <xdr:colOff>281</xdr:colOff>
      <xdr:row>25</xdr:row>
      <xdr:rowOff>274145</xdr:rowOff>
    </xdr:from>
    <xdr:to>
      <xdr:col>0</xdr:col>
      <xdr:colOff>1709264</xdr:colOff>
      <xdr:row>28</xdr:row>
      <xdr:rowOff>32711</xdr:rowOff>
    </xdr:to>
    <xdr:grpSp>
      <xdr:nvGrpSpPr>
        <xdr:cNvPr id="32" name="Group 31">
          <a:extLst>
            <a:ext uri="{FF2B5EF4-FFF2-40B4-BE49-F238E27FC236}">
              <a16:creationId xmlns:a16="http://schemas.microsoft.com/office/drawing/2014/main" id="{25CFE441-090B-0302-E759-0574DE2A2A3C}"/>
            </a:ext>
          </a:extLst>
        </xdr:cNvPr>
        <xdr:cNvGrpSpPr/>
      </xdr:nvGrpSpPr>
      <xdr:grpSpPr>
        <a:xfrm>
          <a:off x="281" y="13919085"/>
          <a:ext cx="1708983" cy="491840"/>
          <a:chOff x="847" y="12324893"/>
          <a:chExt cx="1725184" cy="486884"/>
        </a:xfrm>
      </xdr:grpSpPr>
      <xdr:sp macro="" textlink="">
        <xdr:nvSpPr>
          <xdr:cNvPr id="33" name="Rectangle: Rounded Corners 32">
            <a:extLst>
              <a:ext uri="{FF2B5EF4-FFF2-40B4-BE49-F238E27FC236}">
                <a16:creationId xmlns:a16="http://schemas.microsoft.com/office/drawing/2014/main" id="{6E3A0D79-255A-E3EB-DA7D-78E90342ABBB}"/>
              </a:ext>
            </a:extLst>
          </xdr:cNvPr>
          <xdr:cNvSpPr/>
        </xdr:nvSpPr>
        <xdr:spPr>
          <a:xfrm>
            <a:off x="847" y="12331506"/>
            <a:ext cx="1709047" cy="480079"/>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34" name="TextBox 33">
            <a:hlinkClick xmlns:r="http://schemas.openxmlformats.org/officeDocument/2006/relationships" r:id="rId30"/>
            <a:extLst>
              <a:ext uri="{FF2B5EF4-FFF2-40B4-BE49-F238E27FC236}">
                <a16:creationId xmlns:a16="http://schemas.microsoft.com/office/drawing/2014/main" id="{079B5F37-EAAF-2B94-61C1-9EF9143136ED}"/>
              </a:ext>
            </a:extLst>
          </xdr:cNvPr>
          <xdr:cNvSpPr txBox="1"/>
        </xdr:nvSpPr>
        <xdr:spPr>
          <a:xfrm>
            <a:off x="10625" y="12403436"/>
            <a:ext cx="1715406" cy="34826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35" name="Oval 34">
            <a:extLst>
              <a:ext uri="{FF2B5EF4-FFF2-40B4-BE49-F238E27FC236}">
                <a16:creationId xmlns:a16="http://schemas.microsoft.com/office/drawing/2014/main" id="{48470577-9870-6439-3258-877BF80C9907}"/>
              </a:ext>
            </a:extLst>
          </xdr:cNvPr>
          <xdr:cNvSpPr/>
        </xdr:nvSpPr>
        <xdr:spPr>
          <a:xfrm>
            <a:off x="95433" y="12414753"/>
            <a:ext cx="286142" cy="312732"/>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36" name="TextBox 35">
            <a:hlinkClick xmlns:r="http://schemas.openxmlformats.org/officeDocument/2006/relationships" r:id="rId30"/>
            <a:extLst>
              <a:ext uri="{FF2B5EF4-FFF2-40B4-BE49-F238E27FC236}">
                <a16:creationId xmlns:a16="http://schemas.microsoft.com/office/drawing/2014/main" id="{A3752991-00CA-5F4E-2605-C8239FA0B755}"/>
              </a:ext>
            </a:extLst>
          </xdr:cNvPr>
          <xdr:cNvSpPr txBox="1"/>
        </xdr:nvSpPr>
        <xdr:spPr>
          <a:xfrm>
            <a:off x="447717" y="12324893"/>
            <a:ext cx="982498" cy="4868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600">
                <a:solidFill>
                  <a:srgbClr val="600000"/>
                </a:solidFill>
              </a:rPr>
              <a:t>MHA</a:t>
            </a:r>
          </a:p>
        </xdr:txBody>
      </xdr:sp>
    </xdr:grpSp>
    <xdr:clientData/>
  </xdr:twoCellAnchor>
  <xdr:twoCellAnchor>
    <xdr:from>
      <xdr:col>5</xdr:col>
      <xdr:colOff>0</xdr:colOff>
      <xdr:row>0</xdr:row>
      <xdr:rowOff>0</xdr:rowOff>
    </xdr:from>
    <xdr:to>
      <xdr:col>5</xdr:col>
      <xdr:colOff>774288</xdr:colOff>
      <xdr:row>1</xdr:row>
      <xdr:rowOff>82906</xdr:rowOff>
    </xdr:to>
    <xdr:grpSp>
      <xdr:nvGrpSpPr>
        <xdr:cNvPr id="160" name="Group 159">
          <a:extLst>
            <a:ext uri="{FF2B5EF4-FFF2-40B4-BE49-F238E27FC236}">
              <a16:creationId xmlns:a16="http://schemas.microsoft.com/office/drawing/2014/main" id="{49CB247F-1469-4634-8E8F-24EC7B004846}"/>
            </a:ext>
          </a:extLst>
        </xdr:cNvPr>
        <xdr:cNvGrpSpPr/>
      </xdr:nvGrpSpPr>
      <xdr:grpSpPr>
        <a:xfrm>
          <a:off x="9509881" y="0"/>
          <a:ext cx="774288" cy="287013"/>
          <a:chOff x="7108587" y="129950"/>
          <a:chExt cx="884099" cy="287016"/>
        </a:xfrm>
      </xdr:grpSpPr>
      <xdr:pic>
        <xdr:nvPicPr>
          <xdr:cNvPr id="161" name="Graphic 160" descr="Rewind with solid fill">
            <a:hlinkClick xmlns:r="http://schemas.openxmlformats.org/officeDocument/2006/relationships" r:id="rId31"/>
            <a:extLst>
              <a:ext uri="{FF2B5EF4-FFF2-40B4-BE49-F238E27FC236}">
                <a16:creationId xmlns:a16="http://schemas.microsoft.com/office/drawing/2014/main" id="{73495DD1-DD67-E229-8AA7-BC2444172A78}"/>
              </a:ext>
            </a:extLst>
          </xdr:cNvPr>
          <xdr:cNvPicPr>
            <a:picLocks noChangeAspect="1"/>
          </xdr:cNvPicPr>
        </xdr:nvPicPr>
        <xdr:blipFill>
          <a:blip xmlns:r="http://schemas.openxmlformats.org/officeDocument/2006/relationships" r:embed="rId32">
            <a:extLst>
              <a:ext uri="{96DAC541-7B7A-43D3-8B79-37D633B846F1}">
                <asvg:svgBlip xmlns:asvg="http://schemas.microsoft.com/office/drawing/2016/SVG/main" r:embed="rId33"/>
              </a:ext>
            </a:extLst>
          </a:blip>
          <a:stretch>
            <a:fillRect/>
          </a:stretch>
        </xdr:blipFill>
        <xdr:spPr>
          <a:xfrm>
            <a:off x="7108587" y="129950"/>
            <a:ext cx="539750" cy="287016"/>
          </a:xfrm>
          <a:prstGeom prst="rect">
            <a:avLst/>
          </a:prstGeom>
        </xdr:spPr>
      </xdr:pic>
      <xdr:sp macro="" textlink="">
        <xdr:nvSpPr>
          <xdr:cNvPr id="162" name="TextBox 161">
            <a:hlinkClick xmlns:r="http://schemas.openxmlformats.org/officeDocument/2006/relationships" r:id="rId31"/>
            <a:extLst>
              <a:ext uri="{FF2B5EF4-FFF2-40B4-BE49-F238E27FC236}">
                <a16:creationId xmlns:a16="http://schemas.microsoft.com/office/drawing/2014/main" id="{AD391CAA-9484-129D-3E40-86DB827C0872}"/>
              </a:ext>
            </a:extLst>
          </xdr:cNvPr>
          <xdr:cNvSpPr txBox="1"/>
        </xdr:nvSpPr>
        <xdr:spPr>
          <a:xfrm>
            <a:off x="7486650" y="146050"/>
            <a:ext cx="506036"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b="1">
                <a:solidFill>
                  <a:schemeClr val="accent6">
                    <a:lumMod val="75000"/>
                  </a:schemeClr>
                </a:solidFill>
                <a:latin typeface="Arial" panose="020B0604020202020204" pitchFamily="34" charset="0"/>
                <a:cs typeface="Arial" panose="020B0604020202020204" pitchFamily="34" charset="0"/>
              </a:rPr>
              <a:t>Main</a:t>
            </a:r>
          </a:p>
        </xdr:txBody>
      </xdr:sp>
    </xdr:grpSp>
    <xdr:clientData/>
  </xdr:twoCellAnchor>
  <xdr:twoCellAnchor>
    <xdr:from>
      <xdr:col>0</xdr:col>
      <xdr:colOff>0</xdr:colOff>
      <xdr:row>21</xdr:row>
      <xdr:rowOff>273050</xdr:rowOff>
    </xdr:from>
    <xdr:to>
      <xdr:col>0</xdr:col>
      <xdr:colOff>1707169</xdr:colOff>
      <xdr:row>23</xdr:row>
      <xdr:rowOff>1987</xdr:rowOff>
    </xdr:to>
    <xdr:grpSp>
      <xdr:nvGrpSpPr>
        <xdr:cNvPr id="163" name="Group 162">
          <a:extLst>
            <a:ext uri="{FF2B5EF4-FFF2-40B4-BE49-F238E27FC236}">
              <a16:creationId xmlns:a16="http://schemas.microsoft.com/office/drawing/2014/main" id="{B2E9895B-9B6F-4055-B023-1D46E47938A5}"/>
            </a:ext>
          </a:extLst>
        </xdr:cNvPr>
        <xdr:cNvGrpSpPr/>
      </xdr:nvGrpSpPr>
      <xdr:grpSpPr>
        <a:xfrm>
          <a:off x="0" y="12436324"/>
          <a:ext cx="1707169" cy="469770"/>
          <a:chOff x="3415" y="11846315"/>
          <a:chExt cx="1725184" cy="456487"/>
        </a:xfrm>
      </xdr:grpSpPr>
      <xdr:sp macro="" textlink="">
        <xdr:nvSpPr>
          <xdr:cNvPr id="164" name="Rectangle: Rounded Corners 163">
            <a:hlinkClick xmlns:r="http://schemas.openxmlformats.org/officeDocument/2006/relationships" r:id="rId34"/>
            <a:extLst>
              <a:ext uri="{FF2B5EF4-FFF2-40B4-BE49-F238E27FC236}">
                <a16:creationId xmlns:a16="http://schemas.microsoft.com/office/drawing/2014/main" id="{82268756-2F4E-4DA1-DAEA-333DA2DBF82B}"/>
              </a:ext>
            </a:extLst>
          </xdr:cNvPr>
          <xdr:cNvSpPr/>
        </xdr:nvSpPr>
        <xdr:spPr>
          <a:xfrm>
            <a:off x="3415" y="11852523"/>
            <a:ext cx="1709047" cy="450098"/>
          </a:xfrm>
          <a:prstGeom prst="roundRect">
            <a:avLst>
              <a:gd name="adj" fmla="val 6708"/>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65" name="TextBox 164">
            <a:hlinkClick xmlns:r="http://schemas.openxmlformats.org/officeDocument/2006/relationships" r:id="rId34"/>
            <a:extLst>
              <a:ext uri="{FF2B5EF4-FFF2-40B4-BE49-F238E27FC236}">
                <a16:creationId xmlns:a16="http://schemas.microsoft.com/office/drawing/2014/main" id="{26ECE92F-C4B5-7643-988C-239DD622A76D}"/>
              </a:ext>
            </a:extLst>
          </xdr:cNvPr>
          <xdr:cNvSpPr txBox="1"/>
        </xdr:nvSpPr>
        <xdr:spPr>
          <a:xfrm>
            <a:off x="13193" y="11919371"/>
            <a:ext cx="1715406" cy="3277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pPr algn="r"/>
            <a:r>
              <a:rPr lang="en-US" sz="1600">
                <a:solidFill>
                  <a:srgbClr val="600000"/>
                </a:solidFill>
                <a:sym typeface="Webdings" panose="05030102010509060703" pitchFamily="18" charset="2"/>
              </a:rPr>
              <a:t></a:t>
            </a:r>
            <a:endParaRPr lang="en-US" sz="1600">
              <a:solidFill>
                <a:srgbClr val="600000"/>
              </a:solidFill>
            </a:endParaRPr>
          </a:p>
        </xdr:txBody>
      </xdr:sp>
      <xdr:sp macro="" textlink="">
        <xdr:nvSpPr>
          <xdr:cNvPr id="166" name="Oval 165">
            <a:hlinkClick xmlns:r="http://schemas.openxmlformats.org/officeDocument/2006/relationships" r:id="rId34"/>
            <a:extLst>
              <a:ext uri="{FF2B5EF4-FFF2-40B4-BE49-F238E27FC236}">
                <a16:creationId xmlns:a16="http://schemas.microsoft.com/office/drawing/2014/main" id="{E16F7DA6-2074-CA01-B030-CCD88457F5D9}"/>
              </a:ext>
            </a:extLst>
          </xdr:cNvPr>
          <xdr:cNvSpPr/>
        </xdr:nvSpPr>
        <xdr:spPr>
          <a:xfrm>
            <a:off x="98001" y="11929995"/>
            <a:ext cx="286142" cy="294355"/>
          </a:xfrm>
          <a:prstGeom prst="ellipse">
            <a:avLst/>
          </a:prstGeom>
          <a:solidFill>
            <a:srgbClr val="600000"/>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sp macro="" textlink="">
        <xdr:nvSpPr>
          <xdr:cNvPr id="167" name="TextBox 166">
            <a:hlinkClick xmlns:r="http://schemas.openxmlformats.org/officeDocument/2006/relationships" r:id="rId34"/>
            <a:extLst>
              <a:ext uri="{FF2B5EF4-FFF2-40B4-BE49-F238E27FC236}">
                <a16:creationId xmlns:a16="http://schemas.microsoft.com/office/drawing/2014/main" id="{68D1A636-00F8-9235-F2A3-6FD48F21B857}"/>
              </a:ext>
            </a:extLst>
          </xdr:cNvPr>
          <xdr:cNvSpPr txBox="1"/>
        </xdr:nvSpPr>
        <xdr:spPr>
          <a:xfrm>
            <a:off x="450285" y="11846315"/>
            <a:ext cx="982498" cy="45648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l"/>
            <a:r>
              <a:rPr lang="en-US" sz="1200">
                <a:solidFill>
                  <a:srgbClr val="600000"/>
                </a:solidFill>
              </a:rPr>
              <a:t>UBBL</a:t>
            </a:r>
          </a:p>
        </xdr:txBody>
      </xdr:sp>
    </xdr:grp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344347F-B4AB-4CA0-A3B0-E1D2825F7A73}" name="DashboardDataTable" displayName="DashboardDataTable" ref="A1:L31">
  <tableColumns count="12">
    <tableColumn id="1" xr3:uid="{C8FDC34A-BFFC-45A1-A013-8F0B1EB2AE98}" name="Legal Area"/>
    <tableColumn id="2" xr3:uid="{04D04138-2A36-43CD-8651-4C1CC588F02A}" name="Group"/>
    <tableColumn id="3" xr3:uid="{37A82A73-DCB4-4129-BD54-64A4232036D3}" name="Total Requirements"/>
    <tableColumn id="4" xr3:uid="{CCB918CE-AE04-4ABA-958A-0FD1CF6FB7AB}" name="Applicable"/>
    <tableColumn id="5" xr3:uid="{E46D5A49-1720-44DB-918C-50DFD29E634F}" name="Not Applicable / NA"/>
    <tableColumn id="6" xr3:uid="{F2972865-EDD9-4232-9F96-A359B69559CF}" name="Comply"/>
    <tableColumn id="7" xr3:uid="{3F733036-1E93-4E86-B0EF-FECBE3D8842B}" name="Not Comply"/>
    <tableColumn id="8" xr3:uid="{1031B7B8-FC56-496F-BD03-DDD19EBB9BBF}" name="Pending Evaluation"/>
    <tableColumn id="9" xr3:uid="{821384B7-C374-49C2-AD43-7B0E2AE7F56E}" name="Compliance %"/>
    <tableColumn id="10" xr3:uid="{53EF911E-ECFF-47AC-AB17-125518D5DE5C}" name="Evaluation Completion %"/>
    <tableColumn id="11" xr3:uid="{C6E0DE51-F22C-4590-921D-3E4AF402F06F}" name="Dashboard Status"/>
    <tableColumn id="12" xr3:uid="{4022EB1E-8740-4F68-97EC-47295E5C861B}" name="Priority Scor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8A477-7715-46FC-8BE3-DDA54B06E1B1}" name="ActionTrackerTable5" displayName="ActionTrackerTable5" ref="A4:J104" headerRowDxfId="526" dataDxfId="524" totalsRowDxfId="525">
  <tableColumns count="10">
    <tableColumn id="1" xr3:uid="{E398A030-20B6-4AFA-9AA5-2EC58B14193A}" name="Action ID" dataDxfId="535">
      <calculatedColumnFormula>IF($Q5="","",LEFT($Q5,FIND("♦",$Q5)-1))</calculatedColumnFormula>
    </tableColumn>
    <tableColumn id="2" xr3:uid="{D8A04380-0041-4901-8023-8ED4A3272378}" name="Source Law / Requirement" dataDxfId="523">
      <calculatedColumnFormula>IF($Q5="","",MID($Q5,FIND("♦",$Q5)+1,FIND("♦",$Q5,FIND("♦",$Q5)+1)-FIND("♦",$Q5)-1))</calculatedColumnFormula>
    </tableColumn>
    <tableColumn id="3" xr3:uid="{54F15F4C-EA4F-4ED4-9A78-97D2A89198C6}" name="Finding Type" dataDxfId="534">
      <calculatedColumnFormula>IF($Q5="","","Not Comply")</calculatedColumnFormula>
    </tableColumn>
    <tableColumn id="4" xr3:uid="{14870EBF-60C7-4163-B080-1E74B3FB92A7}" name="Gaps" dataDxfId="533">
      <calculatedColumnFormula>IF($Q5="","",MID($Q5,FIND("♦",$Q5,FIND("♦",$Q5)+1)+1,FIND("♦",$Q5,FIND("♦",$Q5,FIND("♦",$Q5)+1)+1)-FIND("♦",$Q5,FIND("♦",$Q5)+1)-1))</calculatedColumnFormula>
    </tableColumn>
    <tableColumn id="5" xr3:uid="{56217AEC-9399-4E50-8ED0-EED1165AD926}" name="Actions" dataDxfId="532">
      <calculatedColumnFormula>IF($Q5="","",RIGHT($Q5,LEN($Q5)-FIND("♦",$Q5,FIND("♦",$Q5,FIND("♦",$Q5)+1)+1)))</calculatedColumnFormula>
    </tableColumn>
    <tableColumn id="6" xr3:uid="{FAF1ECFD-CEB9-4795-858D-58B6B00FF388}" name="Target Date" dataDxfId="531"/>
    <tableColumn id="7" xr3:uid="{12665158-A4AB-4530-9E73-9244EAB161C4}" name="Action Status" dataDxfId="530"/>
    <tableColumn id="8" xr3:uid="{ED3B6756-B3FF-4415-82CC-ADD992FA29C3}" name="Days Remaining" dataDxfId="529">
      <calculatedColumnFormula>IF(OR($B5="",G5="Closed",F5=""),"",F5-TODAY())</calculatedColumnFormula>
    </tableColumn>
    <tableColumn id="9" xr3:uid="{3AF14B67-D070-44B9-9BDD-E46418F6398F}" name="Status" dataDxfId="528">
      <calculatedColumnFormula>IF($B5="","",IF(G5="Closed","Closed",IF(F5="","No Date",IF(F5&lt;TODAY(),"Overdue",IF(F5-TODAY()&lt;=7,"Due Soon","On Track")))))</calculatedColumnFormula>
    </tableColumn>
    <tableColumn id="10" xr3:uid="{8D9110C4-5AF2-4665-8DD7-C2754EBD1142}" name="Evidence / Remarks" dataDxfId="5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203C426-C7D9-4794-85BF-4E6B22A25D16}" name="ShortNamesAbbreviationsTable" displayName="ShortNamesAbbreviationsTable" ref="A4:C107">
  <tableColumns count="3">
    <tableColumn id="1" xr3:uid="{832A2230-C8F2-4A79-ABF6-268533E2FE92}" name="Number"/>
    <tableColumn id="2" xr3:uid="{D8429DFD-66E0-4C05-960B-925E2B8110A6}" name="Short Name / Abbreviation"/>
    <tableColumn id="3" xr3:uid="{76B3E344-0CE3-425D-8555-A68313270EE3}" name="Meanin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5D6D-1C29-4AD3-B356-F53095F61A8D}">
  <sheetPr>
    <tabColor rgb="FFC00000"/>
  </sheetPr>
  <dimension ref="A1:R32"/>
  <sheetViews>
    <sheetView showGridLines="0" showRowColHeaders="0" tabSelected="1" zoomScaleNormal="100" workbookViewId="0">
      <selection activeCell="T9" sqref="T9"/>
    </sheetView>
  </sheetViews>
  <sheetFormatPr defaultRowHeight="14.5"/>
  <cols>
    <col min="1" max="1" width="2.453125" customWidth="1"/>
    <col min="2" max="6" width="9.1796875" customWidth="1"/>
    <col min="7" max="7" width="3.453125" customWidth="1"/>
    <col min="8" max="12" width="9.1796875" customWidth="1"/>
    <col min="13" max="13" width="3.453125" customWidth="1"/>
    <col min="14" max="17" width="9.1796875" customWidth="1"/>
    <col min="18" max="18" width="13.453125" customWidth="1"/>
  </cols>
  <sheetData>
    <row r="1" spans="1:18" ht="3.5" customHeight="1">
      <c r="A1" s="90"/>
      <c r="B1" s="90"/>
      <c r="C1" s="90"/>
      <c r="D1" s="90"/>
      <c r="E1" s="90"/>
      <c r="F1" s="90"/>
      <c r="G1" s="90"/>
      <c r="H1" s="90"/>
      <c r="I1" s="90"/>
      <c r="J1" s="90"/>
      <c r="K1" s="90"/>
      <c r="L1" s="90"/>
      <c r="M1" s="90"/>
      <c r="N1" s="90"/>
      <c r="O1" s="90"/>
      <c r="P1" s="90"/>
      <c r="Q1" s="90"/>
      <c r="R1" s="90"/>
    </row>
    <row r="2" spans="1:18" ht="13.5" customHeight="1">
      <c r="A2" s="91"/>
      <c r="B2" s="91"/>
      <c r="C2" s="91"/>
      <c r="D2" s="91"/>
      <c r="E2" s="91"/>
      <c r="F2" s="91"/>
      <c r="G2" s="91"/>
      <c r="H2" s="91"/>
      <c r="I2" s="91"/>
      <c r="J2" s="91"/>
      <c r="K2" s="91"/>
      <c r="L2" s="91"/>
      <c r="M2" s="91"/>
      <c r="N2" s="91"/>
      <c r="O2" s="91"/>
      <c r="P2" s="91"/>
      <c r="Q2" s="91"/>
      <c r="R2" s="91"/>
    </row>
    <row r="3" spans="1:18" ht="28" customHeight="1">
      <c r="A3" s="89"/>
      <c r="B3" s="140"/>
      <c r="C3" s="140"/>
      <c r="D3" s="141" t="s">
        <v>2535</v>
      </c>
      <c r="E3" s="141"/>
      <c r="F3" s="141"/>
      <c r="G3" s="141"/>
      <c r="H3" s="141"/>
      <c r="I3" s="141"/>
      <c r="J3" s="141"/>
      <c r="K3" s="141"/>
      <c r="L3" s="141"/>
      <c r="M3" s="141"/>
      <c r="N3" s="141"/>
      <c r="O3" s="141"/>
      <c r="P3" s="142" t="s">
        <v>1782</v>
      </c>
      <c r="Q3" s="142"/>
      <c r="R3" s="96">
        <f ca="1">TODAY()</f>
        <v>46285</v>
      </c>
    </row>
    <row r="4" spans="1:18" ht="34" customHeight="1">
      <c r="A4" s="89"/>
      <c r="B4" s="140"/>
      <c r="C4" s="140"/>
      <c r="D4" s="141"/>
      <c r="E4" s="141"/>
      <c r="F4" s="141"/>
      <c r="G4" s="141"/>
      <c r="H4" s="141"/>
      <c r="I4" s="141"/>
      <c r="J4" s="141"/>
      <c r="K4" s="141"/>
      <c r="L4" s="141"/>
      <c r="M4" s="141"/>
      <c r="N4" s="141"/>
      <c r="O4" s="141"/>
      <c r="P4" s="142" t="s">
        <v>1783</v>
      </c>
      <c r="Q4" s="142"/>
      <c r="R4" s="97" t="s">
        <v>1380</v>
      </c>
    </row>
    <row r="5" spans="1:18" ht="34" customHeight="1">
      <c r="A5" s="89"/>
      <c r="B5" s="140"/>
      <c r="C5" s="140"/>
      <c r="D5" s="143" t="s">
        <v>1784</v>
      </c>
      <c r="E5" s="143"/>
      <c r="F5" s="143"/>
      <c r="G5" s="143"/>
      <c r="H5" s="143"/>
      <c r="I5" s="143"/>
      <c r="J5" s="143"/>
      <c r="K5" s="143"/>
      <c r="L5" s="143"/>
      <c r="M5" s="143"/>
      <c r="N5" s="143"/>
      <c r="O5" s="143"/>
      <c r="P5" s="142" t="s">
        <v>1785</v>
      </c>
      <c r="Q5" s="142"/>
      <c r="R5" s="97" t="s">
        <v>631</v>
      </c>
    </row>
    <row r="6" spans="1:18" ht="22" customHeight="1">
      <c r="A6" s="89"/>
      <c r="B6" s="140"/>
      <c r="C6" s="140"/>
      <c r="D6" s="144" t="s">
        <v>1786</v>
      </c>
      <c r="E6" s="144"/>
      <c r="F6" s="144"/>
      <c r="G6" s="144"/>
      <c r="H6" s="144"/>
      <c r="I6" s="144"/>
      <c r="J6" s="144"/>
      <c r="K6" s="144"/>
      <c r="L6" s="144"/>
      <c r="M6" s="144"/>
      <c r="N6" s="144"/>
      <c r="O6" s="144"/>
      <c r="P6" s="142" t="s">
        <v>1787</v>
      </c>
      <c r="Q6" s="142"/>
      <c r="R6" s="97" t="s">
        <v>1788</v>
      </c>
    </row>
    <row r="7" spans="1:18" ht="3.5" customHeight="1">
      <c r="A7" s="90"/>
      <c r="B7" s="90"/>
      <c r="C7" s="90"/>
      <c r="D7" s="90"/>
      <c r="E7" s="90"/>
      <c r="F7" s="90"/>
      <c r="G7" s="90"/>
      <c r="H7" s="90"/>
      <c r="I7" s="90"/>
      <c r="J7" s="90"/>
      <c r="K7" s="90"/>
      <c r="L7" s="90"/>
      <c r="M7" s="90"/>
      <c r="N7" s="90"/>
      <c r="O7" s="90"/>
      <c r="P7" s="90"/>
      <c r="Q7" s="90"/>
      <c r="R7" s="90"/>
    </row>
    <row r="8" spans="1:18" ht="12" customHeight="1">
      <c r="A8" s="89"/>
      <c r="B8" s="89"/>
      <c r="C8" s="89"/>
      <c r="D8" s="89"/>
      <c r="E8" s="89"/>
      <c r="F8" s="89"/>
      <c r="G8" s="89"/>
      <c r="H8" s="89"/>
      <c r="I8" s="89"/>
      <c r="J8" s="89"/>
      <c r="K8" s="89"/>
      <c r="L8" s="89"/>
      <c r="M8" s="89"/>
      <c r="N8" s="89"/>
      <c r="O8" s="89"/>
      <c r="P8" s="89"/>
      <c r="Q8" s="89"/>
      <c r="R8" s="89"/>
    </row>
    <row r="9" spans="1:18" ht="28" customHeight="1">
      <c r="A9" s="91"/>
      <c r="B9" s="145"/>
      <c r="C9" s="145"/>
      <c r="D9" s="146"/>
      <c r="E9" s="146"/>
      <c r="F9" s="146"/>
      <c r="G9" s="91"/>
      <c r="H9" s="145"/>
      <c r="I9" s="145"/>
      <c r="J9" s="146"/>
      <c r="K9" s="146"/>
      <c r="L9" s="146"/>
      <c r="M9" s="91"/>
      <c r="N9" s="145"/>
      <c r="O9" s="145"/>
      <c r="P9" s="146"/>
      <c r="Q9" s="146"/>
      <c r="R9" s="146"/>
    </row>
    <row r="10" spans="1:18" ht="32" customHeight="1">
      <c r="A10" s="91"/>
      <c r="B10" s="145"/>
      <c r="C10" s="145"/>
      <c r="D10" s="146"/>
      <c r="E10" s="146"/>
      <c r="F10" s="146"/>
      <c r="G10" s="91"/>
      <c r="H10" s="145"/>
      <c r="I10" s="145"/>
      <c r="J10" s="146"/>
      <c r="K10" s="146"/>
      <c r="L10" s="146"/>
      <c r="M10" s="91"/>
      <c r="N10" s="145"/>
      <c r="O10" s="145"/>
      <c r="P10" s="146"/>
      <c r="Q10" s="146"/>
      <c r="R10" s="146"/>
    </row>
    <row r="11" spans="1:18" ht="30" customHeight="1">
      <c r="A11" s="91"/>
      <c r="B11" s="145"/>
      <c r="C11" s="145"/>
      <c r="D11" s="146"/>
      <c r="E11" s="146"/>
      <c r="F11" s="146"/>
      <c r="G11" s="91"/>
      <c r="H11" s="145"/>
      <c r="I11" s="145"/>
      <c r="J11" s="146"/>
      <c r="K11" s="146"/>
      <c r="L11" s="146"/>
      <c r="M11" s="91"/>
      <c r="N11" s="145"/>
      <c r="O11" s="145"/>
      <c r="P11" s="146"/>
      <c r="Q11" s="146"/>
      <c r="R11" s="146"/>
    </row>
    <row r="12" spans="1:18" ht="30" customHeight="1">
      <c r="A12" s="91"/>
      <c r="B12" s="145"/>
      <c r="C12" s="145"/>
      <c r="D12" s="139"/>
      <c r="E12" s="139"/>
      <c r="F12" s="139"/>
      <c r="G12" s="91"/>
      <c r="H12" s="145"/>
      <c r="I12" s="145"/>
      <c r="J12" s="139"/>
      <c r="K12" s="139"/>
      <c r="L12" s="139"/>
      <c r="M12" s="91"/>
      <c r="N12" s="145"/>
      <c r="O12" s="145"/>
      <c r="P12" s="139"/>
      <c r="Q12" s="139"/>
      <c r="R12" s="139"/>
    </row>
    <row r="13" spans="1:18" ht="30" customHeight="1">
      <c r="A13" s="91"/>
      <c r="B13" s="145"/>
      <c r="C13" s="145"/>
      <c r="D13" s="139"/>
      <c r="E13" s="139"/>
      <c r="F13" s="139"/>
      <c r="G13" s="91"/>
      <c r="H13" s="145"/>
      <c r="I13" s="145"/>
      <c r="J13" s="139"/>
      <c r="K13" s="139"/>
      <c r="L13" s="139"/>
      <c r="M13" s="91"/>
      <c r="N13" s="145"/>
      <c r="O13" s="145"/>
      <c r="P13" s="139"/>
      <c r="Q13" s="139"/>
      <c r="R13" s="139"/>
    </row>
    <row r="14" spans="1:18" ht="12" customHeight="1">
      <c r="A14" s="89"/>
      <c r="B14" s="89"/>
      <c r="C14" s="89"/>
      <c r="D14" s="89"/>
      <c r="E14" s="89"/>
      <c r="F14" s="89"/>
      <c r="G14" s="89"/>
      <c r="H14" s="89"/>
      <c r="I14" s="89"/>
      <c r="J14" s="89"/>
      <c r="K14" s="89"/>
      <c r="L14" s="89"/>
      <c r="M14" s="89"/>
      <c r="N14" s="89"/>
      <c r="O14" s="89"/>
      <c r="P14" s="89"/>
      <c r="Q14" s="89"/>
      <c r="R14" s="89"/>
    </row>
    <row r="15" spans="1:18" ht="12" customHeight="1">
      <c r="A15" s="89"/>
      <c r="B15" s="92"/>
      <c r="C15" s="92"/>
      <c r="D15" s="92"/>
      <c r="E15" s="92"/>
      <c r="F15" s="92"/>
      <c r="G15" s="92"/>
      <c r="H15" s="92"/>
      <c r="I15" s="92"/>
      <c r="J15" s="92"/>
      <c r="K15" s="92"/>
      <c r="L15" s="92"/>
      <c r="M15" s="92"/>
      <c r="N15" s="92"/>
      <c r="O15" s="92"/>
      <c r="P15" s="92"/>
      <c r="Q15" s="92"/>
      <c r="R15" s="92"/>
    </row>
    <row r="16" spans="1:18" ht="28" customHeight="1">
      <c r="A16" s="89"/>
      <c r="B16" s="151" t="s">
        <v>1789</v>
      </c>
      <c r="C16" s="151"/>
      <c r="D16" s="152"/>
      <c r="E16" s="151" t="s">
        <v>1790</v>
      </c>
      <c r="F16" s="151"/>
      <c r="G16" s="151"/>
      <c r="H16" s="153" t="s">
        <v>1791</v>
      </c>
      <c r="I16" s="154"/>
      <c r="J16" s="155" t="s">
        <v>1792</v>
      </c>
      <c r="K16" s="155"/>
      <c r="L16" s="155"/>
      <c r="M16" s="165" t="s">
        <v>1791</v>
      </c>
      <c r="N16" s="166"/>
      <c r="O16" s="147" t="s">
        <v>1793</v>
      </c>
      <c r="P16" s="147"/>
      <c r="Q16" s="147"/>
      <c r="R16" s="147"/>
    </row>
    <row r="17" spans="1:18" ht="28" customHeight="1">
      <c r="A17" s="89"/>
      <c r="B17" s="151"/>
      <c r="C17" s="151"/>
      <c r="D17" s="152"/>
      <c r="E17" s="151"/>
      <c r="F17" s="151"/>
      <c r="G17" s="151"/>
      <c r="H17" s="153"/>
      <c r="I17" s="154"/>
      <c r="J17" s="155"/>
      <c r="K17" s="155"/>
      <c r="L17" s="155"/>
      <c r="M17" s="165"/>
      <c r="N17" s="166"/>
      <c r="O17" s="147"/>
      <c r="P17" s="147"/>
      <c r="Q17" s="147"/>
      <c r="R17" s="147"/>
    </row>
    <row r="18" spans="1:18" ht="28" customHeight="1">
      <c r="A18" s="89"/>
      <c r="B18" s="151"/>
      <c r="C18" s="151"/>
      <c r="D18" s="152"/>
      <c r="E18" s="151"/>
      <c r="F18" s="151"/>
      <c r="G18" s="151"/>
      <c r="H18" s="153"/>
      <c r="I18" s="154"/>
      <c r="J18" s="155"/>
      <c r="K18" s="155"/>
      <c r="L18" s="155"/>
      <c r="M18" s="165"/>
      <c r="N18" s="166"/>
      <c r="O18" s="147"/>
      <c r="P18" s="147"/>
      <c r="Q18" s="147"/>
      <c r="R18" s="147"/>
    </row>
    <row r="19" spans="1:18" ht="12" customHeight="1">
      <c r="A19" s="89"/>
      <c r="B19" s="92"/>
      <c r="C19" s="92"/>
      <c r="D19" s="92"/>
      <c r="E19" s="92"/>
      <c r="F19" s="92"/>
      <c r="G19" s="92"/>
      <c r="H19" s="92"/>
      <c r="I19" s="92"/>
      <c r="J19" s="92"/>
      <c r="K19" s="92"/>
      <c r="L19" s="92"/>
      <c r="M19" s="92"/>
      <c r="N19" s="92"/>
      <c r="O19" s="92"/>
      <c r="P19" s="92"/>
      <c r="Q19" s="92"/>
      <c r="R19" s="92"/>
    </row>
    <row r="20" spans="1:18" ht="10" customHeight="1">
      <c r="A20" s="89"/>
      <c r="B20" s="89"/>
      <c r="C20" s="89"/>
      <c r="D20" s="89"/>
      <c r="E20" s="89"/>
      <c r="F20" s="89"/>
      <c r="G20" s="89"/>
      <c r="H20" s="89"/>
      <c r="I20" s="89"/>
      <c r="J20" s="89"/>
      <c r="K20" s="89"/>
      <c r="L20" s="89"/>
      <c r="M20" s="89"/>
      <c r="N20" s="89"/>
      <c r="O20" s="89"/>
      <c r="P20" s="89"/>
      <c r="Q20" s="89"/>
      <c r="R20" s="89"/>
    </row>
    <row r="21" spans="1:18" ht="16" customHeight="1">
      <c r="A21" s="89"/>
      <c r="B21" s="148" t="s">
        <v>1794</v>
      </c>
      <c r="C21" s="148"/>
      <c r="D21" s="149" t="s">
        <v>1795</v>
      </c>
      <c r="E21" s="149"/>
      <c r="F21" s="149"/>
      <c r="G21" s="148"/>
      <c r="H21" s="148"/>
      <c r="I21" s="149" t="s">
        <v>1796</v>
      </c>
      <c r="J21" s="149"/>
      <c r="K21" s="150"/>
      <c r="L21" s="150"/>
      <c r="M21" s="149" t="s">
        <v>1797</v>
      </c>
      <c r="N21" s="162"/>
      <c r="O21" s="162"/>
      <c r="P21" s="93"/>
      <c r="Q21" s="149" t="s">
        <v>1798</v>
      </c>
      <c r="R21" s="149"/>
    </row>
    <row r="22" spans="1:18" ht="27.5" customHeight="1">
      <c r="A22" s="89"/>
      <c r="B22" s="148"/>
      <c r="C22" s="148"/>
      <c r="D22" s="158" t="s">
        <v>1799</v>
      </c>
      <c r="E22" s="158"/>
      <c r="F22" s="158"/>
      <c r="G22" s="148"/>
      <c r="H22" s="148"/>
      <c r="I22" s="158" t="s">
        <v>1800</v>
      </c>
      <c r="J22" s="158"/>
      <c r="K22" s="150"/>
      <c r="L22" s="150"/>
      <c r="M22" s="163" t="s">
        <v>1801</v>
      </c>
      <c r="N22" s="164"/>
      <c r="O22" s="164"/>
      <c r="P22" s="93"/>
      <c r="Q22" s="159" t="s">
        <v>1802</v>
      </c>
      <c r="R22" s="159"/>
    </row>
    <row r="23" spans="1:18" ht="18" customHeight="1">
      <c r="A23" s="89"/>
      <c r="B23" s="148"/>
      <c r="C23" s="148"/>
      <c r="D23" s="160" t="s">
        <v>1803</v>
      </c>
      <c r="E23" s="160"/>
      <c r="F23" s="160"/>
      <c r="G23" s="148"/>
      <c r="H23" s="148"/>
      <c r="I23" s="161" t="s">
        <v>1804</v>
      </c>
      <c r="J23" s="161"/>
      <c r="K23" s="150"/>
      <c r="L23" s="150"/>
      <c r="M23" s="160" t="s">
        <v>1805</v>
      </c>
      <c r="N23" s="162"/>
      <c r="O23" s="162"/>
      <c r="P23" s="93"/>
      <c r="Q23" s="160" t="s">
        <v>1806</v>
      </c>
      <c r="R23" s="160"/>
    </row>
    <row r="24" spans="1:18" ht="13.5" customHeight="1">
      <c r="A24" s="89"/>
      <c r="B24" s="148"/>
      <c r="C24" s="148"/>
      <c r="D24" s="160"/>
      <c r="E24" s="160"/>
      <c r="F24" s="160"/>
      <c r="G24" s="148"/>
      <c r="H24" s="148"/>
      <c r="I24" s="161"/>
      <c r="J24" s="161"/>
      <c r="K24" s="150"/>
      <c r="L24" s="150"/>
      <c r="M24" s="162"/>
      <c r="N24" s="162"/>
      <c r="O24" s="162"/>
      <c r="P24" s="93"/>
      <c r="Q24" s="160"/>
      <c r="R24" s="160"/>
    </row>
    <row r="25" spans="1:18" ht="9" customHeight="1">
      <c r="A25" s="89"/>
      <c r="B25" s="95"/>
      <c r="C25" s="95"/>
      <c r="D25" s="160"/>
      <c r="E25" s="160"/>
      <c r="F25" s="160"/>
      <c r="G25" s="95"/>
      <c r="H25" s="95"/>
      <c r="I25" s="161"/>
      <c r="J25" s="161"/>
      <c r="K25" s="95"/>
      <c r="L25" s="95"/>
      <c r="M25" s="94"/>
      <c r="N25" s="94"/>
      <c r="O25" s="95"/>
      <c r="P25" s="95"/>
      <c r="Q25" s="160"/>
      <c r="R25" s="160"/>
    </row>
    <row r="26" spans="1:18" ht="10" customHeight="1">
      <c r="A26" s="89"/>
      <c r="B26" s="89"/>
      <c r="C26" s="89"/>
      <c r="D26" s="89"/>
      <c r="E26" s="89"/>
      <c r="F26" s="89"/>
      <c r="G26" s="89"/>
      <c r="H26" s="89"/>
      <c r="I26" s="89"/>
      <c r="J26" s="89"/>
      <c r="K26" s="89"/>
      <c r="L26" s="89"/>
      <c r="M26" s="89"/>
      <c r="N26" s="89"/>
      <c r="O26" s="89"/>
      <c r="P26" s="89"/>
      <c r="Q26" s="89"/>
      <c r="R26" s="89"/>
    </row>
    <row r="27" spans="1:18" s="98" customFormat="1" ht="11.5" customHeight="1">
      <c r="A27" s="89"/>
      <c r="B27" s="156" t="s">
        <v>1808</v>
      </c>
      <c r="C27" s="157"/>
      <c r="D27" s="157"/>
      <c r="E27" s="157"/>
      <c r="F27" s="157"/>
      <c r="G27" s="156" t="s">
        <v>1807</v>
      </c>
      <c r="H27" s="157"/>
      <c r="I27" s="157"/>
      <c r="J27" s="157"/>
      <c r="K27" s="157"/>
      <c r="L27" s="157"/>
      <c r="M27" s="156" t="s">
        <v>1809</v>
      </c>
      <c r="N27" s="157"/>
      <c r="O27" s="157"/>
      <c r="P27" s="157"/>
      <c r="Q27" s="157"/>
      <c r="R27" s="157"/>
    </row>
    <row r="28" spans="1:18" s="98" customFormat="1" ht="11.5" customHeight="1">
      <c r="A28" s="89"/>
      <c r="B28" s="157"/>
      <c r="C28" s="157"/>
      <c r="D28" s="157"/>
      <c r="E28" s="157"/>
      <c r="F28" s="157"/>
      <c r="G28" s="157"/>
      <c r="H28" s="157"/>
      <c r="I28" s="157"/>
      <c r="J28" s="157"/>
      <c r="K28" s="157"/>
      <c r="L28" s="157"/>
      <c r="M28" s="157"/>
      <c r="N28" s="157"/>
      <c r="O28" s="157"/>
      <c r="P28" s="157"/>
      <c r="Q28" s="157"/>
      <c r="R28" s="157"/>
    </row>
    <row r="29" spans="1:18" s="98" customFormat="1" ht="11.5" customHeight="1">
      <c r="A29" s="89"/>
      <c r="B29" s="157"/>
      <c r="C29" s="157"/>
      <c r="D29" s="157"/>
      <c r="E29" s="157"/>
      <c r="F29" s="157"/>
      <c r="G29" s="157"/>
      <c r="H29" s="157"/>
      <c r="I29" s="157"/>
      <c r="J29" s="157"/>
      <c r="K29" s="157"/>
      <c r="L29" s="157"/>
      <c r="M29" s="157"/>
      <c r="N29" s="157"/>
      <c r="O29" s="157"/>
      <c r="P29" s="157"/>
      <c r="Q29" s="157"/>
      <c r="R29" s="157"/>
    </row>
    <row r="30" spans="1:18" s="98" customFormat="1" ht="10" customHeight="1">
      <c r="A30" s="89"/>
      <c r="B30" s="157"/>
      <c r="C30" s="157"/>
      <c r="D30" s="157"/>
      <c r="E30" s="157"/>
      <c r="F30" s="157"/>
      <c r="G30" s="157"/>
      <c r="H30" s="157"/>
      <c r="I30" s="157"/>
      <c r="J30" s="157"/>
      <c r="K30" s="157"/>
      <c r="L30" s="157"/>
      <c r="M30" s="157"/>
      <c r="N30" s="157"/>
      <c r="O30" s="157"/>
      <c r="P30" s="157"/>
      <c r="Q30" s="157"/>
      <c r="R30" s="157"/>
    </row>
    <row r="31" spans="1:18" ht="24" customHeight="1">
      <c r="A31" s="89"/>
      <c r="B31" s="89"/>
      <c r="C31" s="89"/>
      <c r="D31" s="89"/>
      <c r="E31" s="89"/>
      <c r="F31" s="89"/>
      <c r="G31" s="89"/>
      <c r="H31" s="89"/>
      <c r="I31" s="89"/>
      <c r="J31" s="89"/>
      <c r="K31" s="89"/>
      <c r="L31" s="89"/>
      <c r="M31" s="89"/>
      <c r="N31" s="89"/>
      <c r="O31" s="89"/>
      <c r="P31" s="89"/>
      <c r="Q31" s="89"/>
      <c r="R31" s="89"/>
    </row>
    <row r="32" spans="1:18" ht="8" customHeight="1">
      <c r="A32" s="88"/>
      <c r="B32" s="88"/>
      <c r="C32" s="88"/>
      <c r="D32" s="88"/>
      <c r="E32" s="88"/>
      <c r="F32" s="88"/>
      <c r="G32" s="88"/>
      <c r="H32" s="88"/>
      <c r="I32" s="88"/>
      <c r="J32" s="88"/>
      <c r="K32" s="88"/>
      <c r="L32" s="88"/>
      <c r="M32" s="88"/>
      <c r="N32" s="88"/>
      <c r="O32" s="88"/>
      <c r="P32" s="88"/>
      <c r="Q32" s="88"/>
      <c r="R32" s="88"/>
    </row>
  </sheetData>
  <sheetProtection algorithmName="SHA-512" hashValue="AupnoUKgepazpe6sLNc+MpuV9vHxBnmknxSSX08BSymF6Baqa6qNcvkEU10n0HOfCRc8I2+q6f6e2GVmC+PPyA==" saltValue="6NIn/Iu9azve5JPm1mWh+g==" spinCount="100000" sheet="1" objects="1" scenarios="1"/>
  <protectedRanges>
    <protectedRange sqref="R3:R6" name="Range1"/>
  </protectedRanges>
  <mergeCells count="44">
    <mergeCell ref="P9:R11"/>
    <mergeCell ref="B27:F30"/>
    <mergeCell ref="G27:L30"/>
    <mergeCell ref="M27:R30"/>
    <mergeCell ref="Q21:R21"/>
    <mergeCell ref="D22:F22"/>
    <mergeCell ref="I22:J22"/>
    <mergeCell ref="Q22:R22"/>
    <mergeCell ref="D23:F25"/>
    <mergeCell ref="I23:J25"/>
    <mergeCell ref="Q23:R25"/>
    <mergeCell ref="M21:O21"/>
    <mergeCell ref="M22:O22"/>
    <mergeCell ref="M23:O24"/>
    <mergeCell ref="M16:M18"/>
    <mergeCell ref="N16:N18"/>
    <mergeCell ref="O16:R18"/>
    <mergeCell ref="B21:C24"/>
    <mergeCell ref="D21:F21"/>
    <mergeCell ref="G21:H24"/>
    <mergeCell ref="I21:J21"/>
    <mergeCell ref="K21:L24"/>
    <mergeCell ref="B16:C18"/>
    <mergeCell ref="D16:D18"/>
    <mergeCell ref="E16:G18"/>
    <mergeCell ref="H16:H18"/>
    <mergeCell ref="I16:I18"/>
    <mergeCell ref="J16:L18"/>
    <mergeCell ref="D12:F13"/>
    <mergeCell ref="J12:L13"/>
    <mergeCell ref="P12:R13"/>
    <mergeCell ref="B3:C6"/>
    <mergeCell ref="D3:O4"/>
    <mergeCell ref="P3:Q3"/>
    <mergeCell ref="P4:Q4"/>
    <mergeCell ref="D5:O5"/>
    <mergeCell ref="P5:Q5"/>
    <mergeCell ref="D6:O6"/>
    <mergeCell ref="P6:Q6"/>
    <mergeCell ref="B9:C13"/>
    <mergeCell ref="D9:F11"/>
    <mergeCell ref="H9:I13"/>
    <mergeCell ref="J9:L11"/>
    <mergeCell ref="N9:O13"/>
  </mergeCells>
  <pageMargins left="0.7" right="0.7" top="0.75" bottom="0.75" header="0.3" footer="0.3"/>
  <pageSetup scale="7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96C9B-0EA7-4617-B8AD-D1B52EE6D1EE}">
  <sheetPr>
    <tabColor rgb="FFFFFF00"/>
  </sheetPr>
  <dimension ref="A1:AH323"/>
  <sheetViews>
    <sheetView showGridLines="0" showRowColHeaders="0" zoomScale="115" zoomScaleNormal="115" workbookViewId="0">
      <selection activeCell="I8" sqref="I8"/>
    </sheetView>
  </sheetViews>
  <sheetFormatPr defaultRowHeight="14.5"/>
  <cols>
    <col min="1" max="1" width="24.453125" customWidth="1"/>
    <col min="3" max="3" width="3" customWidth="1"/>
    <col min="7" max="8" width="13.90625" customWidth="1"/>
    <col min="9" max="9" width="5.26953125" customWidth="1"/>
    <col min="10" max="10" width="5" customWidth="1"/>
    <col min="14" max="14" width="8.7265625" style="26"/>
    <col min="15" max="22" width="13.6328125" style="26" customWidth="1"/>
    <col min="23" max="34" width="8.7265625" style="26"/>
  </cols>
  <sheetData>
    <row r="1" spans="1:18" ht="31">
      <c r="A1" s="1" t="s">
        <v>2541</v>
      </c>
    </row>
    <row r="2" spans="1:18">
      <c r="A2" s="2" t="s">
        <v>0</v>
      </c>
    </row>
    <row r="3" spans="1:18">
      <c r="A3" s="2"/>
    </row>
    <row r="4" spans="1:18">
      <c r="A4" t="s">
        <v>573</v>
      </c>
      <c r="B4" s="182"/>
      <c r="C4" s="183"/>
      <c r="D4" s="183"/>
      <c r="E4" s="183"/>
      <c r="F4" s="183"/>
      <c r="G4" s="183"/>
      <c r="H4" s="184"/>
    </row>
    <row r="5" spans="1:18" ht="4" customHeight="1"/>
    <row r="6" spans="1:18">
      <c r="A6" t="s">
        <v>625</v>
      </c>
      <c r="B6" s="182"/>
      <c r="C6" s="183"/>
      <c r="D6" s="183"/>
      <c r="E6" s="184"/>
    </row>
    <row r="7" spans="1:18" ht="4" customHeight="1"/>
    <row r="8" spans="1:18">
      <c r="A8" t="s">
        <v>623</v>
      </c>
      <c r="B8" s="182"/>
      <c r="C8" s="183"/>
      <c r="D8" s="183"/>
      <c r="E8" s="184"/>
    </row>
    <row r="9" spans="1:18" ht="4" customHeight="1"/>
    <row r="10" spans="1:18">
      <c r="A10" t="s">
        <v>574</v>
      </c>
      <c r="B10" s="185"/>
      <c r="C10" s="186"/>
      <c r="D10" s="186"/>
      <c r="E10" s="187"/>
    </row>
    <row r="11" spans="1:18" ht="4" customHeight="1"/>
    <row r="12" spans="1:18">
      <c r="A12" t="s">
        <v>635</v>
      </c>
      <c r="B12" s="30"/>
      <c r="D12" s="182"/>
      <c r="E12" s="183"/>
      <c r="F12" s="183"/>
      <c r="G12" s="183"/>
      <c r="H12" s="184"/>
    </row>
    <row r="14" spans="1:18" ht="23.5">
      <c r="A14" s="3" t="s">
        <v>1</v>
      </c>
    </row>
    <row r="15" spans="1:18">
      <c r="A15" s="111" t="s">
        <v>2</v>
      </c>
      <c r="O15" s="26" t="s">
        <v>3</v>
      </c>
      <c r="P15" s="26" t="s">
        <v>4</v>
      </c>
      <c r="Q15" s="26" t="s">
        <v>5</v>
      </c>
      <c r="R15" s="26" t="s">
        <v>6</v>
      </c>
    </row>
    <row r="16" spans="1:18" ht="14.5" customHeight="1">
      <c r="A16" s="7" t="str">
        <f>'back-data'!A13</f>
        <v>Less than 4</v>
      </c>
      <c r="B16" s="6" t="b">
        <v>0</v>
      </c>
      <c r="D16" s="170" t="str">
        <f>IF(COUNTIF(B16:B19,TRUE)&gt;1,"Select only 1",IF(J16=0,"Please choose the most accurate number of workers at workplace.",O16))</f>
        <v>Please choose the most accurate number of workers at workplace.</v>
      </c>
      <c r="E16" s="171"/>
      <c r="F16" s="171"/>
      <c r="G16" s="171"/>
      <c r="H16" s="171"/>
      <c r="I16" s="172"/>
      <c r="J16" s="26">
        <f>COUNTIF(B16:B19,TRUE)</f>
        <v>0</v>
      </c>
      <c r="K16" s="167" t="str">
        <f>IF(J16=0,_xlfn._LONGTEXT("Note: This question determines the resources required for establishing a Safety and Health Committee (SHC) or appointing a Safety and Health Officer (SHO) or Occupational Safety and Health Coordinator (OSH-C), based on the total number of workers, includi","ng subcontractors.."),"")</f>
        <v>Note: This question determines the resources required for establishing a Safety and Health Committee (SHC) or appointing a Safety and Health Officer (SHO) or Occupational Safety and Health Coordinator (OSH-C), based on the total number of workers, including subcontractors..</v>
      </c>
      <c r="L16" s="167"/>
      <c r="M16" s="167"/>
      <c r="N16" s="167"/>
      <c r="O16" s="26" t="str">
        <f>IF(AND(J16=1,B16=TRUE),"To comply general requirements of OSHA 1994",P16)</f>
        <v/>
      </c>
      <c r="P16" s="26" t="str">
        <f>IF(AND(J16=1,B17=TRUE),"Workplace shall appoint OSH-C",Q16)</f>
        <v/>
      </c>
      <c r="Q16" s="26" t="str">
        <f>IF(AND(J16=1,B18=TRUE),"Workplace shall appoint OSH-C &amp; setup SHC",R16)</f>
        <v/>
      </c>
      <c r="R16" s="26" t="str">
        <f>IF(AND(J16=1,B19=TRUE),"Workplace shall appoint OSH-C, setup the SHC &amp; to confirm the class of industry to hire SHO","")</f>
        <v/>
      </c>
    </row>
    <row r="17" spans="1:17" ht="14.5" customHeight="1">
      <c r="A17" s="133" t="str">
        <f>'back-data'!A14</f>
        <v>5 – 39</v>
      </c>
      <c r="B17" s="43" t="b">
        <v>0</v>
      </c>
      <c r="D17" s="193"/>
      <c r="E17" s="194"/>
      <c r="F17" s="194"/>
      <c r="G17" s="194"/>
      <c r="H17" s="194"/>
      <c r="I17" s="195"/>
      <c r="K17" s="167"/>
      <c r="L17" s="167"/>
      <c r="M17" s="167"/>
      <c r="N17" s="167"/>
      <c r="O17" s="26" t="b">
        <f>OR(B17=TRUE,B18=TRUE,B19=TRUE)</f>
        <v>0</v>
      </c>
    </row>
    <row r="18" spans="1:17" ht="14.5" customHeight="1">
      <c r="A18" s="133" t="str">
        <f>'back-data'!A15</f>
        <v>40 – 99</v>
      </c>
      <c r="B18" s="43" t="b">
        <v>0</v>
      </c>
      <c r="D18" s="196"/>
      <c r="E18" s="197"/>
      <c r="F18" s="197"/>
      <c r="G18" s="197"/>
      <c r="H18" s="197"/>
      <c r="I18" s="198"/>
      <c r="K18" s="167"/>
      <c r="L18" s="167"/>
      <c r="M18" s="167"/>
      <c r="N18" s="167"/>
    </row>
    <row r="19" spans="1:17" ht="14.5" customHeight="1">
      <c r="A19" s="133" t="str">
        <f>'back-data'!A16</f>
        <v>100 persons and above</v>
      </c>
      <c r="B19" s="43" t="b">
        <v>0</v>
      </c>
      <c r="D19" s="45"/>
      <c r="E19" s="45"/>
      <c r="F19" s="45"/>
      <c r="G19" s="45"/>
      <c r="H19" s="45"/>
      <c r="I19" s="45"/>
      <c r="K19" s="168"/>
      <c r="L19" s="168"/>
      <c r="M19" s="168"/>
      <c r="N19" s="168"/>
    </row>
    <row r="20" spans="1:17" ht="31" customHeight="1">
      <c r="A20" s="191" t="str">
        <f>IF('back-data'!$A$1=1,"Bahasa Malaysia: Jumlah pekerja, termasuk subkontraktor","")</f>
        <v>Bahasa Malaysia: Jumlah pekerja, termasuk subkontraktor</v>
      </c>
      <c r="B20" s="191"/>
      <c r="D20" s="176" t="s">
        <v>582</v>
      </c>
      <c r="E20" s="177"/>
      <c r="F20" s="177"/>
      <c r="G20" s="177"/>
      <c r="H20" s="177"/>
      <c r="I20" s="178"/>
      <c r="K20" s="168"/>
      <c r="L20" s="168"/>
      <c r="M20" s="168"/>
      <c r="N20" s="168"/>
    </row>
    <row r="21" spans="1:17">
      <c r="A21" s="5"/>
      <c r="D21" s="45"/>
      <c r="E21" s="45"/>
      <c r="F21" s="45"/>
      <c r="G21" s="45"/>
      <c r="H21" s="45"/>
      <c r="I21" s="45"/>
    </row>
    <row r="22" spans="1:17">
      <c r="A22" s="111" t="s">
        <v>624</v>
      </c>
      <c r="D22" s="8"/>
      <c r="E22" s="8"/>
      <c r="F22" s="8"/>
      <c r="G22" s="8"/>
      <c r="H22" s="8"/>
      <c r="I22" s="8"/>
    </row>
    <row r="23" spans="1:17">
      <c r="A23" s="7" t="s">
        <v>7</v>
      </c>
      <c r="B23" s="6" t="b">
        <v>0</v>
      </c>
      <c r="D23" s="170" t="str">
        <f>IF(COUNTIF(B23:B24,TRUE)&gt;1,"Select only 1",IF(COUNTIF(B23:B24,FALSE)=2,"Please select either “Yes” or “No.” Only one option may be selected.",CONCATENATE('back-data'!B20," - (",'back-data'!C20,")")))</f>
        <v>Please select either “Yes” or “No.” Only one option may be selected.</v>
      </c>
      <c r="E23" s="171"/>
      <c r="F23" s="171"/>
      <c r="G23" s="171"/>
      <c r="H23" s="171"/>
      <c r="I23" s="172"/>
      <c r="K23" s="167" t="str">
        <f>IF(COUNTIF(B23:B24,TRUE),"",_xlfn._LONGTEXT("Note: means any person who contracts with a principal to carry out in whole or in part any work undertaken by the principal in the course of or for the purposes of the principal’s trade, business, profession or undertaking; Duty of Principal to ensure the"," safety and health of contractors (OSHA 1994)"))</f>
        <v>Note: means any person who contracts with a principal to carry out in whole or in part any work undertaken by the principal in the course of or for the purposes of the principal’s trade, business, profession or undertaking; Duty of Principal to ensure the safety and health of contractors (OSHA 1994)</v>
      </c>
      <c r="L23" s="167"/>
      <c r="M23" s="167"/>
      <c r="N23" s="167"/>
      <c r="O23" s="26" t="str">
        <f>IF(COUNTIF(B23:B24,FALSE)&gt;1,"",P23)</f>
        <v/>
      </c>
      <c r="P23" s="26" t="str">
        <f>IF(COUNTIF(B23:B24,TRUE)&gt;1,"Select only 1",Q23)</f>
        <v>JAWAPAN2</v>
      </c>
      <c r="Q23" s="26" t="str">
        <f>IF(AND(B23=TRUE,B24=FALSE),"JAWAPAN 1","JAWAPAN2")</f>
        <v>JAWAPAN2</v>
      </c>
    </row>
    <row r="24" spans="1:17" ht="30" customHeight="1">
      <c r="A24" s="44" t="s">
        <v>8</v>
      </c>
      <c r="B24" s="43" t="b">
        <v>0</v>
      </c>
      <c r="D24" s="173"/>
      <c r="E24" s="174"/>
      <c r="F24" s="174"/>
      <c r="G24" s="174"/>
      <c r="H24" s="174"/>
      <c r="I24" s="175"/>
      <c r="K24" s="167"/>
      <c r="L24" s="167"/>
      <c r="M24" s="167"/>
      <c r="N24" s="167"/>
    </row>
    <row r="25" spans="1:17" ht="5" customHeight="1">
      <c r="A25" s="5"/>
      <c r="D25" s="45"/>
      <c r="E25" s="45"/>
      <c r="F25" s="45"/>
      <c r="G25" s="45"/>
      <c r="H25" s="45"/>
      <c r="I25" s="45"/>
      <c r="K25" s="168"/>
      <c r="L25" s="168"/>
      <c r="M25" s="168"/>
      <c r="N25" s="168"/>
    </row>
    <row r="26" spans="1:17" ht="31" customHeight="1">
      <c r="A26" s="191" t="str">
        <f>IF('back-data'!$A$1=1,"Bahasa Malaysia:Pelantikan kontraktor pekerja harian di tempat kerja","")</f>
        <v>Bahasa Malaysia:Pelantikan kontraktor pekerja harian di tempat kerja</v>
      </c>
      <c r="B26" s="192"/>
      <c r="D26" s="176" t="s">
        <v>582</v>
      </c>
      <c r="E26" s="177"/>
      <c r="F26" s="177"/>
      <c r="G26" s="177"/>
      <c r="H26" s="177"/>
      <c r="I26" s="178"/>
      <c r="K26" s="168"/>
      <c r="L26" s="168"/>
      <c r="M26" s="168"/>
      <c r="N26" s="168"/>
    </row>
    <row r="27" spans="1:17">
      <c r="A27" s="5"/>
      <c r="D27" s="45"/>
      <c r="E27" s="45"/>
      <c r="F27" s="45"/>
      <c r="G27" s="45"/>
      <c r="H27" s="45"/>
      <c r="I27" s="45"/>
    </row>
    <row r="28" spans="1:17">
      <c r="A28" s="111" t="s">
        <v>304</v>
      </c>
      <c r="D28" s="8"/>
      <c r="E28" s="8"/>
      <c r="F28" s="8"/>
      <c r="G28" s="8"/>
      <c r="H28" s="8"/>
      <c r="I28" s="8"/>
    </row>
    <row r="29" spans="1:17">
      <c r="A29" s="7" t="s">
        <v>7</v>
      </c>
      <c r="B29" s="6" t="b">
        <v>0</v>
      </c>
      <c r="D29" s="170" t="str">
        <f>IF(COUNTIF(B29:B30,TRUE)&gt;1,"Select only 1",IF(COUNTIF(B29:B30,FALSE)=2,"Please select either “Yes” or “No.” Only one option may be selected.",CONCATENATE('back-data'!B21," - (",'back-data'!C21,")")))</f>
        <v>Please select either “Yes” or “No.” Only one option may be selected.</v>
      </c>
      <c r="E29" s="171"/>
      <c r="F29" s="171"/>
      <c r="G29" s="171"/>
      <c r="H29" s="171"/>
      <c r="I29" s="172"/>
      <c r="K29" s="167" t="str">
        <f>IF(COUNTIF(B29:B30,TRUE),"","Note: This question helps ensure OSH requirements are applied equally to all workers, including foreign workers, regardless of nationality or citizenship.")</f>
        <v>Note: This question helps ensure OSH requirements are applied equally to all workers, including foreign workers, regardless of nationality or citizenship.</v>
      </c>
      <c r="L29" s="167"/>
      <c r="M29" s="167"/>
      <c r="N29" s="167"/>
    </row>
    <row r="30" spans="1:17" ht="30" customHeight="1">
      <c r="A30" s="44" t="s">
        <v>8</v>
      </c>
      <c r="B30" s="43" t="b">
        <v>0</v>
      </c>
      <c r="D30" s="173"/>
      <c r="E30" s="174"/>
      <c r="F30" s="174"/>
      <c r="G30" s="174"/>
      <c r="H30" s="174"/>
      <c r="I30" s="175"/>
      <c r="K30" s="167"/>
      <c r="L30" s="167"/>
      <c r="M30" s="167"/>
      <c r="N30" s="167"/>
    </row>
    <row r="31" spans="1:17" ht="5" customHeight="1">
      <c r="A31" s="188" t="str">
        <f>IF('back-data'!$A$1=1,"Bahasa Malaysia:Menggaji pekerja asing","")</f>
        <v>Bahasa Malaysia:Menggaji pekerja asing</v>
      </c>
      <c r="B31" s="188"/>
      <c r="D31" s="45"/>
      <c r="E31" s="45"/>
      <c r="F31" s="45"/>
      <c r="G31" s="45"/>
      <c r="H31" s="45"/>
      <c r="I31" s="45"/>
      <c r="K31" s="168"/>
      <c r="L31" s="168"/>
      <c r="M31" s="168"/>
      <c r="N31" s="168"/>
    </row>
    <row r="32" spans="1:17" ht="31" customHeight="1">
      <c r="A32" s="189"/>
      <c r="B32" s="189"/>
      <c r="D32" s="176" t="s">
        <v>582</v>
      </c>
      <c r="E32" s="177"/>
      <c r="F32" s="177"/>
      <c r="G32" s="177"/>
      <c r="H32" s="177"/>
      <c r="I32" s="178"/>
      <c r="K32" s="168"/>
      <c r="L32" s="168"/>
      <c r="M32" s="168"/>
      <c r="N32" s="168"/>
    </row>
    <row r="33" spans="1:14">
      <c r="A33" s="5"/>
      <c r="D33" s="45"/>
      <c r="E33" s="45"/>
      <c r="F33" s="45"/>
      <c r="G33" s="45"/>
      <c r="H33" s="45"/>
      <c r="I33" s="45"/>
    </row>
    <row r="34" spans="1:14">
      <c r="A34" s="31" t="s">
        <v>1019</v>
      </c>
      <c r="D34" s="8"/>
      <c r="E34" s="8"/>
      <c r="F34" s="8"/>
      <c r="G34" s="8"/>
      <c r="H34" s="8"/>
      <c r="I34" s="8"/>
    </row>
    <row r="35" spans="1:14">
      <c r="A35" s="7" t="s">
        <v>7</v>
      </c>
      <c r="B35" s="6" t="b">
        <v>0</v>
      </c>
      <c r="D35" s="170" t="str">
        <f>IF(COUNTIF(B35:B36,TRUE)&gt;1,"Select only 1",IF(COUNTIF(B35:B36,FALSE)=2,"Please select either “Yes” or “No.” Only one option may be selected.",CONCATENATE('back-data'!B22," - (",'back-data'!C22,")")))</f>
        <v>Please select either “Yes” or “No.” Only one option may be selected.</v>
      </c>
      <c r="E35" s="171"/>
      <c r="F35" s="171"/>
      <c r="G35" s="171"/>
      <c r="H35" s="171"/>
      <c r="I35" s="172"/>
      <c r="K35" s="167" t="str">
        <f>IF(COUNTIF(B35:B36,TRUE),"",_xlfn._LONGTEXT("Note: A young person is an individual who is 15 years old or above but has not attained the age of 18 years, as defined under the Children and Young Persons (Employment) Act 1966. This question helps ensure young workers and apprentices are assigned suita","ble work and provided with appropriate supervision and protection in accordance with applicable legal requirements."))</f>
        <v>Note: A young person is an individual who is 15 years old or above but has not attained the age of 18 years, as defined under the Children and Young Persons (Employment) Act 1966. This question helps ensure young workers and apprentices are assigned suitable work and provided with appropriate supervision and protection in accordance with applicable legal requirements.</v>
      </c>
      <c r="L35" s="167"/>
      <c r="M35" s="167"/>
      <c r="N35" s="167"/>
    </row>
    <row r="36" spans="1:14" ht="38.5" customHeight="1">
      <c r="A36" s="44" t="s">
        <v>8</v>
      </c>
      <c r="B36" s="43" t="b">
        <v>0</v>
      </c>
      <c r="D36" s="173"/>
      <c r="E36" s="174"/>
      <c r="F36" s="174"/>
      <c r="G36" s="174"/>
      <c r="H36" s="174"/>
      <c r="I36" s="175"/>
      <c r="K36" s="167"/>
      <c r="L36" s="167"/>
      <c r="M36" s="167"/>
      <c r="N36" s="167"/>
    </row>
    <row r="37" spans="1:14" ht="5" customHeight="1">
      <c r="A37" s="188" t="str">
        <f>IF('back-data'!$A$1=1,"Bahasa Malaysia:Penggajian pekerja muda atau perantis","")</f>
        <v>Bahasa Malaysia:Penggajian pekerja muda atau perantis</v>
      </c>
      <c r="B37" s="188"/>
      <c r="D37" s="45"/>
      <c r="E37" s="45"/>
      <c r="F37" s="45"/>
      <c r="G37" s="45"/>
      <c r="H37" s="45"/>
      <c r="I37" s="45"/>
      <c r="K37" s="168"/>
      <c r="L37" s="168"/>
      <c r="M37" s="168"/>
      <c r="N37" s="168"/>
    </row>
    <row r="38" spans="1:14" ht="31" customHeight="1">
      <c r="A38" s="189"/>
      <c r="B38" s="189"/>
      <c r="D38" s="176" t="s">
        <v>582</v>
      </c>
      <c r="E38" s="177"/>
      <c r="F38" s="177"/>
      <c r="G38" s="177"/>
      <c r="H38" s="177"/>
      <c r="I38" s="178"/>
      <c r="K38" s="168"/>
      <c r="L38" s="168"/>
      <c r="M38" s="168"/>
      <c r="N38" s="168"/>
    </row>
    <row r="39" spans="1:14">
      <c r="A39" s="5"/>
      <c r="D39" s="45"/>
      <c r="E39" s="45"/>
      <c r="F39" s="45"/>
      <c r="G39" s="45"/>
      <c r="H39" s="45"/>
      <c r="I39" s="45"/>
    </row>
    <row r="40" spans="1:14">
      <c r="A40" s="5"/>
      <c r="D40" s="8"/>
      <c r="E40" s="8"/>
      <c r="F40" s="8"/>
      <c r="G40" s="8"/>
      <c r="H40" s="8"/>
      <c r="I40" s="8"/>
    </row>
    <row r="41" spans="1:14" ht="31">
      <c r="A41" s="1" t="s">
        <v>583</v>
      </c>
      <c r="D41" s="8"/>
      <c r="E41" s="8"/>
      <c r="F41" s="8"/>
      <c r="G41" s="8"/>
      <c r="H41" s="8"/>
      <c r="I41" s="8"/>
    </row>
    <row r="42" spans="1:14">
      <c r="A42" s="4" t="s">
        <v>1021</v>
      </c>
      <c r="D42" s="8"/>
      <c r="E42" s="8"/>
      <c r="F42" s="8"/>
      <c r="G42" s="8"/>
      <c r="H42" s="8"/>
      <c r="I42" s="8"/>
    </row>
    <row r="43" spans="1:14">
      <c r="A43" s="7" t="s">
        <v>7</v>
      </c>
      <c r="B43" s="6" t="b">
        <v>0</v>
      </c>
      <c r="D43" s="170" t="str">
        <f>IF(COUNTIF(B43:B44,TRUE)&gt;1,"Select only 1",IF(COUNTIF(B43:B44,FALSE)=2,"Please select either “Yes” or “No.” Only one option may be selected.",CONCATENATE('back-data'!B23," - (",'back-data'!C23,")")))</f>
        <v>Please select either “Yes” or “No.” Only one option may be selected.</v>
      </c>
      <c r="E43" s="171"/>
      <c r="F43" s="171"/>
      <c r="G43" s="171"/>
      <c r="H43" s="171"/>
      <c r="I43" s="172"/>
      <c r="K43" s="167" t="str">
        <f>IF(COUNTIF(B43:B44,TRUE),"",_xlfn._LONGTEXT("Note: Construction works means the construction, extension, installation, repair, maintenance, renewal, removal, renovation, alteration or demolition of buildings, structures, civil engineering works, utilities and related infrastructure (CIDB). This ques","tion helps identify whether construction activities are undertaken. Where applicable, compliance with the CIDB Act and Construction (Design and Management) Regulations (CDM) is required regardless of the size, duration or value of the construction project","."))</f>
        <v>Note: Construction works means the construction, extension, installation, repair, maintenance, renewal, removal, renovation, alteration or demolition of buildings, structures, civil engineering works, utilities and related infrastructure (CIDB). This question helps identify whether construction activities are undertaken. Where applicable, compliance with the CIDB Act and Construction (Design and Management) Regulations (CDM) is required regardless of the size, duration or value of the construction project.</v>
      </c>
      <c r="L43" s="167"/>
      <c r="M43" s="167"/>
      <c r="N43" s="167"/>
    </row>
    <row r="44" spans="1:14" ht="30" customHeight="1">
      <c r="A44" s="44" t="s">
        <v>8</v>
      </c>
      <c r="B44" s="43" t="b">
        <v>0</v>
      </c>
      <c r="D44" s="173"/>
      <c r="E44" s="174"/>
      <c r="F44" s="174"/>
      <c r="G44" s="174"/>
      <c r="H44" s="174"/>
      <c r="I44" s="175"/>
      <c r="K44" s="167"/>
      <c r="L44" s="167"/>
      <c r="M44" s="167"/>
      <c r="N44" s="167"/>
    </row>
    <row r="45" spans="1:14" ht="5" customHeight="1">
      <c r="A45" s="188" t="str">
        <f>IF('back-data'!$A$1=1,"Bahasa Malaysia:Kerja-kerja pembinaan","")</f>
        <v>Bahasa Malaysia:Kerja-kerja pembinaan</v>
      </c>
      <c r="B45" s="188"/>
      <c r="D45" s="45"/>
      <c r="E45" s="45"/>
      <c r="F45" s="45"/>
      <c r="G45" s="45"/>
      <c r="H45" s="45"/>
      <c r="I45" s="45"/>
      <c r="K45" s="168"/>
      <c r="L45" s="168"/>
      <c r="M45" s="168"/>
      <c r="N45" s="168"/>
    </row>
    <row r="46" spans="1:14" ht="31" customHeight="1">
      <c r="A46" s="189"/>
      <c r="B46" s="189"/>
      <c r="D46" s="176" t="s">
        <v>582</v>
      </c>
      <c r="E46" s="177"/>
      <c r="F46" s="177"/>
      <c r="G46" s="177"/>
      <c r="H46" s="177"/>
      <c r="I46" s="178"/>
      <c r="K46" s="168"/>
      <c r="L46" s="168"/>
      <c r="M46" s="168"/>
      <c r="N46" s="168"/>
    </row>
    <row r="47" spans="1:14" ht="31" customHeight="1">
      <c r="A47" s="5"/>
      <c r="D47" s="45"/>
      <c r="E47" s="39"/>
      <c r="F47" s="39"/>
      <c r="G47" s="39"/>
      <c r="H47" s="39"/>
      <c r="I47" s="39"/>
      <c r="K47" s="169"/>
      <c r="L47" s="169"/>
      <c r="M47" s="169"/>
      <c r="N47" s="169"/>
    </row>
    <row r="48" spans="1:14">
      <c r="A48" s="4" t="s">
        <v>1020</v>
      </c>
      <c r="D48" s="8"/>
      <c r="E48" s="8"/>
      <c r="F48" s="8"/>
      <c r="G48" s="8"/>
      <c r="H48" s="8"/>
      <c r="I48" s="8"/>
    </row>
    <row r="49" spans="1:14">
      <c r="A49" s="7" t="s">
        <v>7</v>
      </c>
      <c r="B49" s="6" t="b">
        <v>0</v>
      </c>
      <c r="D49" s="170" t="str">
        <f>IF(COUNTIF(B49:B50,TRUE)&gt;1,"Select only 1",IF(COUNTIF(B49:B50,FALSE)=2,"Please select either “Yes” or “No.” Only one option may be selected.",CONCATENATE('back-data'!B24," - (",'back-data'!C24,")")))</f>
        <v>Please select either “Yes” or “No.” Only one option may be selected.</v>
      </c>
      <c r="E49" s="171"/>
      <c r="F49" s="171"/>
      <c r="G49" s="171"/>
      <c r="H49" s="171"/>
      <c r="I49" s="172"/>
      <c r="K49" s="167" t="str">
        <f>IF(COUNTIF(B49:B50,TRUE),"",_xlfn._LONGTEXT("Note: The RM10 million project value threshold for appointing a SSS is not a statutory requirement under Malaysian legislation; it may instead be an internal policy, client specification, or contractual requirement. Compliance with the CIDB Act and CDM Re","gulations is required regardless of the size, duration or value of the construction project. Where construction work is carried out, the appointment of a Site Safety Supervisor (SSS) and other prescribed duty holders shall be made in accordance with appli","cable legal requirements."))</f>
        <v>Note: The RM10 million project value threshold for appointing a SSS is not a statutory requirement under Malaysian legislation; it may instead be an internal policy, client specification, or contractual requirement. Compliance with the CIDB Act and CDM Regulations is required regardless of the size, duration or value of the construction project. Where construction work is carried out, the appointment of a Site Safety Supervisor (SSS) and other prescribed duty holders shall be made in accordance with applicable legal requirements.</v>
      </c>
      <c r="L49" s="167"/>
      <c r="M49" s="167"/>
      <c r="N49" s="167"/>
    </row>
    <row r="50" spans="1:14" ht="40.5" customHeight="1">
      <c r="A50" s="44" t="s">
        <v>8</v>
      </c>
      <c r="B50" s="43" t="b">
        <v>0</v>
      </c>
      <c r="D50" s="173"/>
      <c r="E50" s="174"/>
      <c r="F50" s="174"/>
      <c r="G50" s="174"/>
      <c r="H50" s="174"/>
      <c r="I50" s="175"/>
      <c r="K50" s="167"/>
      <c r="L50" s="167"/>
      <c r="M50" s="167"/>
      <c r="N50" s="167"/>
    </row>
    <row r="51" spans="1:14" ht="5" customHeight="1">
      <c r="A51" s="188" t="str">
        <f>IF('back-data'!$A$1=1,"Bahasa Malaysia:Nilai kerja-kerja pembinaan melebihi RM10 juta","")</f>
        <v>Bahasa Malaysia:Nilai kerja-kerja pembinaan melebihi RM10 juta</v>
      </c>
      <c r="B51" s="188"/>
      <c r="D51" s="45"/>
      <c r="E51" s="45"/>
      <c r="F51" s="45"/>
      <c r="G51" s="45"/>
      <c r="H51" s="45"/>
      <c r="I51" s="45"/>
      <c r="K51" s="168"/>
      <c r="L51" s="168"/>
      <c r="M51" s="168"/>
      <c r="N51" s="168"/>
    </row>
    <row r="52" spans="1:14" ht="31" customHeight="1">
      <c r="A52" s="189"/>
      <c r="B52" s="189"/>
      <c r="D52" s="176" t="s">
        <v>582</v>
      </c>
      <c r="E52" s="177"/>
      <c r="F52" s="177"/>
      <c r="G52" s="177"/>
      <c r="H52" s="177"/>
      <c r="I52" s="178"/>
      <c r="K52" s="168"/>
      <c r="L52" s="168"/>
      <c r="M52" s="168"/>
      <c r="N52" s="168"/>
    </row>
    <row r="53" spans="1:14">
      <c r="A53" s="5"/>
      <c r="D53" s="8"/>
      <c r="E53" s="8"/>
      <c r="F53" s="8"/>
      <c r="G53" s="8"/>
      <c r="H53" s="8"/>
      <c r="I53" s="8"/>
      <c r="K53" s="169"/>
      <c r="L53" s="169"/>
      <c r="M53" s="169"/>
      <c r="N53" s="169"/>
    </row>
    <row r="54" spans="1:14">
      <c r="A54" s="4" t="s">
        <v>584</v>
      </c>
      <c r="D54" s="8"/>
      <c r="E54" s="8"/>
      <c r="F54" s="8"/>
      <c r="G54" s="8"/>
      <c r="H54" s="8"/>
      <c r="I54" s="8"/>
    </row>
    <row r="55" spans="1:14">
      <c r="A55" s="7" t="s">
        <v>7</v>
      </c>
      <c r="B55" s="6" t="b">
        <v>0</v>
      </c>
      <c r="D55" s="170" t="str">
        <f>IF(COUNTIF(B55:B56,TRUE)&gt;1,"Select only 1",IF(COUNTIF(B55:B56,FALSE)=2,"Please select either “Yes” or “No.” Only one option may be selected.",CONCATENATE('back-data'!B25," - (",'back-data'!C25,")")))</f>
        <v>Please select either “Yes” or “No.” Only one option may be selected.</v>
      </c>
      <c r="E55" s="171"/>
      <c r="F55" s="171"/>
      <c r="G55" s="171"/>
      <c r="H55" s="171"/>
      <c r="I55" s="172"/>
      <c r="K55" s="167" t="str">
        <f>IF(COUNTIF(B55:B56,TRUE),"",_xlfn._LONGTEXT("Note: Type of activity require PTW, WAH, Confined Space, hotwork, lifting pestisite, Scaffolding, lane closure and others. This question helps identify activities covered under the PLUS Safe Work System. Where applicable, the relevant Permit to Work (PTW)"," requirements and HSSE controls shall be complied with before and during the work activity."))</f>
        <v>Note: Type of activity require PTW, WAH, Confined Space, hotwork, lifting pestisite, Scaffolding, lane closure and others. This question helps identify activities covered under the PLUS Safe Work System. Where applicable, the relevant Permit to Work (PTW) requirements and HSSE controls shall be complied with before and during the work activity.</v>
      </c>
      <c r="L55" s="167"/>
      <c r="M55" s="167"/>
      <c r="N55" s="167"/>
    </row>
    <row r="56" spans="1:14" ht="30" customHeight="1">
      <c r="A56" s="44" t="s">
        <v>8</v>
      </c>
      <c r="B56" s="43" t="b">
        <v>0</v>
      </c>
      <c r="D56" s="173"/>
      <c r="E56" s="174"/>
      <c r="F56" s="174"/>
      <c r="G56" s="174"/>
      <c r="H56" s="174"/>
      <c r="I56" s="175"/>
      <c r="K56" s="167"/>
      <c r="L56" s="167"/>
      <c r="M56" s="167"/>
      <c r="N56" s="167"/>
    </row>
    <row r="57" spans="1:14" ht="5" customHeight="1">
      <c r="A57" s="188" t="str">
        <f>IF('back-data'!$A$1=1,"Bahasa Malaysia:Terdapat 9 aktiviti kerja yang tertakluk kepada keperluan Permit To Work (PTW)","")</f>
        <v>Bahasa Malaysia:Terdapat 9 aktiviti kerja yang tertakluk kepada keperluan Permit To Work (PTW)</v>
      </c>
      <c r="B57" s="188"/>
      <c r="D57" s="45"/>
      <c r="E57" s="45"/>
      <c r="F57" s="45"/>
      <c r="G57" s="45"/>
      <c r="H57" s="45"/>
      <c r="I57" s="45"/>
      <c r="K57" s="168"/>
      <c r="L57" s="168"/>
      <c r="M57" s="168"/>
      <c r="N57" s="168"/>
    </row>
    <row r="58" spans="1:14" ht="31" customHeight="1">
      <c r="A58" s="189"/>
      <c r="B58" s="189"/>
      <c r="D58" s="176" t="s">
        <v>582</v>
      </c>
      <c r="E58" s="177"/>
      <c r="F58" s="177"/>
      <c r="G58" s="177"/>
      <c r="H58" s="177"/>
      <c r="I58" s="178"/>
      <c r="K58" s="168"/>
      <c r="L58" s="168"/>
      <c r="M58" s="168"/>
      <c r="N58" s="168"/>
    </row>
    <row r="59" spans="1:14">
      <c r="A59" s="5"/>
      <c r="D59" s="8"/>
      <c r="E59" s="8"/>
      <c r="F59" s="8"/>
      <c r="G59" s="8"/>
      <c r="H59" s="8"/>
      <c r="I59" s="8"/>
      <c r="K59" s="169"/>
      <c r="L59" s="169"/>
      <c r="M59" s="169"/>
      <c r="N59" s="169"/>
    </row>
    <row r="60" spans="1:14">
      <c r="A60" s="4" t="s">
        <v>1215</v>
      </c>
      <c r="D60" s="8"/>
      <c r="E60" s="8"/>
      <c r="F60" s="8"/>
      <c r="G60" s="8"/>
      <c r="H60" s="8"/>
      <c r="I60" s="8"/>
    </row>
    <row r="61" spans="1:14">
      <c r="A61" s="7" t="s">
        <v>7</v>
      </c>
      <c r="B61" s="6" t="b">
        <v>0</v>
      </c>
      <c r="D61" s="170" t="str">
        <f>IF(COUNTIF(B61:B62,TRUE)&gt;1,"Select only 1",IF(COUNTIF(B61:B62,FALSE)=2,"Please select either “Yes” or “No.” Only one option may be selected.",CONCATENATE('back-data'!B26," - (",'back-data'!C26,")")))</f>
        <v>Please select either “Yes” or “No.” Only one option may be selected.</v>
      </c>
      <c r="E61" s="171"/>
      <c r="F61" s="171"/>
      <c r="G61" s="171"/>
      <c r="H61" s="171"/>
      <c r="I61" s="172"/>
      <c r="K61" s="167" t="str">
        <f>IF(COUNTIF(B61:B62,TRUE),"",_xlfn._LONGTEXT("Note: Safety and Health Officer (SHO) means a competent person appointed to advise an employer on occupational safety and health matters in accordance with the OSHA 1994 &amp; OSH(SHO) Reg 1997. This question helps determine whether employment of a Safety and"," Health Officer (SHO) is required. If applicable, a competent SHO shall be employed in accordance with legal requirements."))</f>
        <v>Note: Safety and Health Officer (SHO) means a competent person appointed to advise an employer on occupational safety and health matters in accordance with the OSHA 1994 &amp; OSH(SHO) Reg 1997. This question helps determine whether employment of a Safety and Health Officer (SHO) is required. If applicable, a competent SHO shall be employed in accordance with legal requirements.</v>
      </c>
      <c r="L61" s="167"/>
      <c r="M61" s="167"/>
      <c r="N61" s="167"/>
    </row>
    <row r="62" spans="1:14" ht="30" customHeight="1">
      <c r="A62" s="44" t="s">
        <v>8</v>
      </c>
      <c r="B62" s="43" t="b">
        <v>0</v>
      </c>
      <c r="D62" s="173"/>
      <c r="E62" s="174"/>
      <c r="F62" s="174"/>
      <c r="G62" s="174"/>
      <c r="H62" s="174"/>
      <c r="I62" s="175"/>
      <c r="K62" s="167"/>
      <c r="L62" s="167"/>
      <c r="M62" s="167"/>
      <c r="N62" s="167"/>
    </row>
    <row r="63" spans="1:14" ht="5" customHeight="1">
      <c r="A63" s="188" t="str">
        <f>IF('back-data'!$A$1=1,"Bahasa Malaysia:Sektor industri yang menggaji Pegawai keselamatan dan Kesihatan (SHO)","")</f>
        <v>Bahasa Malaysia:Sektor industri yang menggaji Pegawai keselamatan dan Kesihatan (SHO)</v>
      </c>
      <c r="B63" s="188"/>
      <c r="D63" s="45"/>
      <c r="E63" s="45"/>
      <c r="F63" s="45"/>
      <c r="G63" s="45"/>
      <c r="H63" s="45"/>
      <c r="I63" s="45"/>
      <c r="K63" s="168"/>
      <c r="L63" s="168"/>
      <c r="M63" s="168"/>
      <c r="N63" s="168"/>
    </row>
    <row r="64" spans="1:14" ht="31" customHeight="1">
      <c r="A64" s="189"/>
      <c r="B64" s="189"/>
      <c r="D64" s="176" t="s">
        <v>1810</v>
      </c>
      <c r="E64" s="177"/>
      <c r="F64" s="177"/>
      <c r="G64" s="177"/>
      <c r="H64" s="177"/>
      <c r="I64" s="178"/>
      <c r="K64" s="168"/>
      <c r="L64" s="168"/>
      <c r="M64" s="168"/>
      <c r="N64" s="168"/>
    </row>
    <row r="65" spans="1:14">
      <c r="A65" s="5"/>
      <c r="D65" s="8"/>
      <c r="E65" s="8"/>
      <c r="F65" s="8"/>
      <c r="G65" s="8"/>
      <c r="H65" s="8"/>
      <c r="I65" s="8"/>
      <c r="K65" s="169"/>
      <c r="L65" s="169"/>
      <c r="M65" s="169"/>
      <c r="N65" s="169"/>
    </row>
    <row r="66" spans="1:14" ht="31">
      <c r="A66" s="1" t="s">
        <v>585</v>
      </c>
      <c r="D66" s="8"/>
      <c r="E66" s="8"/>
      <c r="F66" s="8"/>
      <c r="G66" s="8"/>
      <c r="H66" s="8"/>
      <c r="I66" s="8"/>
      <c r="K66" s="169"/>
      <c r="L66" s="169"/>
      <c r="M66" s="169"/>
      <c r="N66" s="169"/>
    </row>
    <row r="67" spans="1:14">
      <c r="A67" s="4"/>
      <c r="D67" s="8"/>
      <c r="E67" s="8"/>
      <c r="F67" s="8"/>
      <c r="G67" s="8"/>
      <c r="H67" s="8"/>
      <c r="I67" s="8"/>
    </row>
    <row r="68" spans="1:14">
      <c r="A68" s="4" t="s">
        <v>1308</v>
      </c>
      <c r="D68" s="8"/>
      <c r="E68" s="8"/>
      <c r="F68" s="8"/>
      <c r="G68" s="8"/>
      <c r="H68" s="8"/>
      <c r="I68" s="8"/>
    </row>
    <row r="69" spans="1:14">
      <c r="A69" s="7" t="s">
        <v>7</v>
      </c>
      <c r="B69" s="6" t="b">
        <v>0</v>
      </c>
      <c r="D69" s="170" t="str">
        <f>IF(COUNTIF(B69:B70,TRUE)&gt;1,"Select only 1",IF(COUNTIF(B69:B70,FALSE)=2,"Please select either “Yes” or “No.” Only one option may be selected.",CONCATENATE('back-data'!B27," - (",'back-data'!C27,")")))</f>
        <v>Please select either “Yes” or “No.” Only one option may be selected.</v>
      </c>
      <c r="E69" s="171"/>
      <c r="F69" s="171"/>
      <c r="G69" s="171"/>
      <c r="H69" s="171"/>
      <c r="I69" s="172"/>
      <c r="K69" s="167" t="str">
        <f>IF(COUNTIF(B69:B70,TRUE),"",_xlfn._LONGTEXT("Note: EOSP is generally required for personnel performing works within the expressway operational area or highway reserve, in accordance with the operational requirements of Lembaga Lebuhraya Malaysia and expressway concessionaires.. This question helps d","etermine the applicability of MHA (LLM) requirements. Where work is carried out within operating highway areas or highway reserves, the relevant highway safety requirements, including EOSP requirements, shall be complied with."))</f>
        <v>Note: EOSP is generally required for personnel performing works within the expressway operational area or highway reserve, in accordance with the operational requirements of Lembaga Lebuhraya Malaysia and expressway concessionaires.. This question helps determine the applicability of MHA (LLM) requirements. Where work is carried out within operating highway areas or highway reserves, the relevant highway safety requirements, including EOSP requirements, shall be complied with.</v>
      </c>
      <c r="L69" s="167"/>
      <c r="M69" s="167"/>
      <c r="N69" s="167"/>
    </row>
    <row r="70" spans="1:14" ht="30" customHeight="1">
      <c r="A70" s="44" t="s">
        <v>8</v>
      </c>
      <c r="B70" s="43" t="b">
        <v>0</v>
      </c>
      <c r="D70" s="173"/>
      <c r="E70" s="174"/>
      <c r="F70" s="174"/>
      <c r="G70" s="174"/>
      <c r="H70" s="174"/>
      <c r="I70" s="175"/>
      <c r="K70" s="167"/>
      <c r="L70" s="167"/>
      <c r="M70" s="167"/>
      <c r="N70" s="167"/>
    </row>
    <row r="71" spans="1:14" ht="5" customHeight="1">
      <c r="A71" s="188" t="str">
        <f>IF('back-data'!$A$1=1,"Bahasa Malaysia:Aktiviti kerja dijalankan di kawasan lebuh raya yang sedang beroperasi atau dalam rizab lebuh raya","")</f>
        <v>Bahasa Malaysia:Aktiviti kerja dijalankan di kawasan lebuh raya yang sedang beroperasi atau dalam rizab lebuh raya</v>
      </c>
      <c r="B71" s="188"/>
      <c r="D71" s="45"/>
      <c r="E71" s="45"/>
      <c r="F71" s="45"/>
      <c r="G71" s="45"/>
      <c r="H71" s="45"/>
      <c r="I71" s="45"/>
      <c r="K71" s="168"/>
      <c r="L71" s="168"/>
      <c r="M71" s="168"/>
      <c r="N71" s="168"/>
    </row>
    <row r="72" spans="1:14" ht="31" customHeight="1">
      <c r="A72" s="189"/>
      <c r="B72" s="189"/>
      <c r="D72" s="176" t="s">
        <v>582</v>
      </c>
      <c r="E72" s="177"/>
      <c r="F72" s="177"/>
      <c r="G72" s="177"/>
      <c r="H72" s="177"/>
      <c r="I72" s="178"/>
      <c r="K72" s="168"/>
      <c r="L72" s="168"/>
      <c r="M72" s="168"/>
      <c r="N72" s="168"/>
    </row>
    <row r="73" spans="1:14">
      <c r="A73" s="4"/>
      <c r="D73" s="8"/>
      <c r="E73" s="8"/>
      <c r="F73" s="8"/>
      <c r="G73" s="8"/>
      <c r="H73" s="8"/>
      <c r="I73" s="8"/>
      <c r="K73" s="169"/>
      <c r="L73" s="169"/>
      <c r="M73" s="169"/>
      <c r="N73" s="169"/>
    </row>
    <row r="74" spans="1:14">
      <c r="A74" s="4" t="s">
        <v>1311</v>
      </c>
      <c r="D74" s="8"/>
      <c r="E74" s="8"/>
      <c r="F74" s="8"/>
      <c r="G74" s="8"/>
      <c r="H74" s="8"/>
      <c r="I74" s="8"/>
    </row>
    <row r="75" spans="1:14">
      <c r="A75" s="7" t="s">
        <v>7</v>
      </c>
      <c r="B75" s="6" t="b">
        <v>0</v>
      </c>
      <c r="D75" s="170" t="str">
        <f>IF(COUNTIF(B75:B76,TRUE)&gt;1,"Select only 1",IF(COUNTIF(B75:B76,FALSE)=2,"Please select either “Yes” or “No.” Only one option may be selected.",CONCATENATE('back-data'!B28," - (",'back-data'!C28,")")))</f>
        <v>Please select either “Yes” or “No.” Only one option may be selected.</v>
      </c>
      <c r="E75" s="171"/>
      <c r="F75" s="171"/>
      <c r="G75" s="171"/>
      <c r="H75" s="171"/>
      <c r="I75" s="172"/>
      <c r="K75" s="167" t="str">
        <f>IF(COUNTIF(B75:B76,TRUE),"",_xlfn._LONGTEXT("Note: Electrical tools, powered machinery, vehicles and equipment refer to workplace work equipment that may generate hazardous noise requiring assessment and control under the Noise Exposure Regulations 2019. This question helps identify activities that ","may generate excessive noise or expose workers to noise hazards. Where applicable, the requirements of the Occupational Safety and Health (Noise Exposure) Regulations 2019 shall be complied with."))</f>
        <v>Note: Electrical tools, powered machinery, vehicles and equipment refer to workplace work equipment that may generate hazardous noise requiring assessment and control under the Noise Exposure Regulations 2019. This question helps identify activities that may generate excessive noise or expose workers to noise hazards. Where applicable, the requirements of the Occupational Safety and Health (Noise Exposure) Regulations 2019 shall be complied with.</v>
      </c>
      <c r="L75" s="167"/>
      <c r="M75" s="167"/>
      <c r="N75" s="167"/>
    </row>
    <row r="76" spans="1:14" ht="30" customHeight="1">
      <c r="A76" s="44" t="s">
        <v>8</v>
      </c>
      <c r="B76" s="43" t="b">
        <v>0</v>
      </c>
      <c r="D76" s="173"/>
      <c r="E76" s="174"/>
      <c r="F76" s="174"/>
      <c r="G76" s="174"/>
      <c r="H76" s="174"/>
      <c r="I76" s="175"/>
      <c r="K76" s="167"/>
      <c r="L76" s="167"/>
      <c r="M76" s="167"/>
      <c r="N76" s="167"/>
    </row>
    <row r="77" spans="1:14" ht="5" customHeight="1">
      <c r="A77" s="188" t="str">
        <f>IF('back-data'!$A$1=1,"Bahasa Malaysia: Penggunaan peralatan elektrik, jentera berkuasa, kenderaan atau peralatan kerja","")</f>
        <v>Bahasa Malaysia: Penggunaan peralatan elektrik, jentera berkuasa, kenderaan atau peralatan kerja</v>
      </c>
      <c r="B77" s="188"/>
      <c r="D77" s="45"/>
      <c r="E77" s="45"/>
      <c r="F77" s="45"/>
      <c r="G77" s="45"/>
      <c r="H77" s="45"/>
      <c r="I77" s="45"/>
      <c r="K77" s="168"/>
      <c r="L77" s="168"/>
      <c r="M77" s="168"/>
      <c r="N77" s="168"/>
    </row>
    <row r="78" spans="1:14" ht="31" customHeight="1">
      <c r="A78" s="189"/>
      <c r="B78" s="189"/>
      <c r="D78" s="176" t="s">
        <v>582</v>
      </c>
      <c r="E78" s="177"/>
      <c r="F78" s="177"/>
      <c r="G78" s="177"/>
      <c r="H78" s="177"/>
      <c r="I78" s="178"/>
      <c r="K78" s="168"/>
      <c r="L78" s="168"/>
      <c r="M78" s="168"/>
      <c r="N78" s="168"/>
    </row>
    <row r="79" spans="1:14">
      <c r="A79" s="4"/>
      <c r="D79" s="8"/>
      <c r="E79" s="8"/>
      <c r="F79" s="8"/>
      <c r="G79" s="8"/>
      <c r="H79" s="8"/>
      <c r="I79" s="8"/>
      <c r="K79" s="169"/>
      <c r="L79" s="169"/>
      <c r="M79" s="169"/>
      <c r="N79" s="169"/>
    </row>
    <row r="80" spans="1:14">
      <c r="A80" s="4" t="s">
        <v>1312</v>
      </c>
      <c r="D80" s="8"/>
      <c r="E80" s="8"/>
      <c r="F80" s="8"/>
      <c r="G80" s="8"/>
      <c r="H80" s="8"/>
      <c r="I80" s="8"/>
    </row>
    <row r="81" spans="1:14">
      <c r="A81" s="7" t="s">
        <v>7</v>
      </c>
      <c r="B81" s="6" t="b">
        <v>0</v>
      </c>
      <c r="D81" s="170" t="str">
        <f>IF(COUNTIF(B81:B82,TRUE)&gt;1,"Select only 1",IF(COUNTIF(B81:B82,FALSE)=2,"Please select either “Yes” or “No.” Only one option may be selected.",CONCATENATE('back-data'!B29," - (",'back-data'!C29,")")))</f>
        <v>Please select either “Yes” or “No.” Only one option may be selected.</v>
      </c>
      <c r="E81" s="171"/>
      <c r="F81" s="171"/>
      <c r="G81" s="171"/>
      <c r="H81" s="171"/>
      <c r="I81" s="172"/>
      <c r="K81" s="167" t="str">
        <f>IF(COUNTIF(B81:B82,TRUE),"",_xlfn._LONGTEXT("Note: Work at Height means work at any place where a person could fall from one level to another and suffer personal injury, as described in the Department of Occupational Safety and Health Malaysia Work at Height Guidance. This question helps determine w","hether work at height activities are undertaken. Where applicable, work at height requirements and appropriate fall prevention and protection measures shall be implemented."))</f>
        <v>Note: Work at Height means work at any place where a person could fall from one level to another and suffer personal injury, as described in the Department of Occupational Safety and Health Malaysia Work at Height Guidance. This question helps determine whether work at height activities are undertaken. Where applicable, work at height requirements and appropriate fall prevention and protection measures shall be implemented.</v>
      </c>
      <c r="L81" s="167"/>
      <c r="M81" s="167"/>
      <c r="N81" s="167"/>
    </row>
    <row r="82" spans="1:14" ht="30" customHeight="1">
      <c r="A82" s="44" t="s">
        <v>8</v>
      </c>
      <c r="B82" s="43" t="b">
        <v>0</v>
      </c>
      <c r="D82" s="173"/>
      <c r="E82" s="174"/>
      <c r="F82" s="174"/>
      <c r="G82" s="174"/>
      <c r="H82" s="174"/>
      <c r="I82" s="175"/>
      <c r="K82" s="167"/>
      <c r="L82" s="167"/>
      <c r="M82" s="167"/>
      <c r="N82" s="167"/>
    </row>
    <row r="83" spans="1:14" ht="5" customHeight="1">
      <c r="A83" s="188" t="str">
        <f>IF('back-data'!$A$1=1,"Bahasa Malaysia: Melibatkan kerja-kerja di tempat tinggi (lebih 2 meter)","")</f>
        <v>Bahasa Malaysia: Melibatkan kerja-kerja di tempat tinggi (lebih 2 meter)</v>
      </c>
      <c r="B83" s="188"/>
      <c r="D83" s="45"/>
      <c r="E83" s="45"/>
      <c r="F83" s="45"/>
      <c r="G83" s="45"/>
      <c r="H83" s="45"/>
      <c r="I83" s="45"/>
      <c r="K83" s="168"/>
      <c r="L83" s="168"/>
      <c r="M83" s="168"/>
      <c r="N83" s="168"/>
    </row>
    <row r="84" spans="1:14" ht="31" customHeight="1">
      <c r="A84" s="189"/>
      <c r="B84" s="189"/>
      <c r="D84" s="176" t="s">
        <v>582</v>
      </c>
      <c r="E84" s="177"/>
      <c r="F84" s="177"/>
      <c r="G84" s="177"/>
      <c r="H84" s="177"/>
      <c r="I84" s="178"/>
      <c r="K84" s="168"/>
      <c r="L84" s="168"/>
      <c r="M84" s="168"/>
      <c r="N84" s="168"/>
    </row>
    <row r="85" spans="1:14">
      <c r="A85" s="5"/>
      <c r="D85" s="8"/>
      <c r="E85" s="8"/>
      <c r="F85" s="8"/>
      <c r="G85" s="8"/>
      <c r="H85" s="8"/>
      <c r="I85" s="8"/>
      <c r="K85" s="169"/>
      <c r="L85" s="169"/>
      <c r="M85" s="169"/>
      <c r="N85" s="169"/>
    </row>
    <row r="86" spans="1:14">
      <c r="A86" s="4" t="s">
        <v>1313</v>
      </c>
      <c r="D86" s="8"/>
      <c r="E86" s="8"/>
      <c r="F86" s="8"/>
      <c r="G86" s="8"/>
      <c r="H86" s="8"/>
      <c r="I86" s="8"/>
    </row>
    <row r="87" spans="1:14">
      <c r="A87" s="7" t="s">
        <v>7</v>
      </c>
      <c r="B87" s="6" t="b">
        <v>0</v>
      </c>
      <c r="D87" s="170" t="str">
        <f>IF(COUNTIF(B87:B88,TRUE)&gt;1,"Select only 1",IF(COUNTIF(B87:B88,FALSE)=2,"Please select either “Yes” or “No.” Only one option may be selected.",CONCATENATE('back-data'!B30," - (",'back-data'!C30,")")))</f>
        <v>Please select either “Yes” or “No.” Only one option may be selected.</v>
      </c>
      <c r="E87" s="171"/>
      <c r="F87" s="171"/>
      <c r="G87" s="171"/>
      <c r="H87" s="171"/>
      <c r="I87" s="172"/>
      <c r="K87" s="167" t="str">
        <f>IF(COUNTIF(B87:B88,TRUE),"",_xlfn._LONGTEXT("NA confined space is an enclosed or partially enclosed area not intended for normal work, with limited entry or exit, and possible risks from hazardous atmospheres, oxygen deficiency, or engulfment. Where confined space work is carried out, legal controls"," such as risk assessment, permit to work, atmospheric testing, competent personnel, emergency arrangements, and safe entry procedures shall be implemented."))</f>
        <v>NA confined space is an enclosed or partially enclosed area not intended for normal work, with limited entry or exit, and possible risks from hazardous atmospheres, oxygen deficiency, or engulfment. Where confined space work is carried out, legal controls such as risk assessment, permit to work, atmospheric testing, competent personnel, emergency arrangements, and safe entry procedures shall be implemented.</v>
      </c>
      <c r="L87" s="167"/>
      <c r="M87" s="167"/>
      <c r="N87" s="167"/>
    </row>
    <row r="88" spans="1:14" ht="30" customHeight="1">
      <c r="A88" s="44" t="s">
        <v>8</v>
      </c>
      <c r="B88" s="43" t="b">
        <v>0</v>
      </c>
      <c r="D88" s="173"/>
      <c r="E88" s="174"/>
      <c r="F88" s="174"/>
      <c r="G88" s="174"/>
      <c r="H88" s="174"/>
      <c r="I88" s="175"/>
      <c r="K88" s="167"/>
      <c r="L88" s="167"/>
      <c r="M88" s="167"/>
      <c r="N88" s="167"/>
    </row>
    <row r="89" spans="1:14" ht="5" customHeight="1">
      <c r="A89" s="188" t="str">
        <f>IF('back-data'!$A$1=1,"Bahasa Malaysia: Melibatkan kerja-kerja di ruang terkurung","")</f>
        <v>Bahasa Malaysia: Melibatkan kerja-kerja di ruang terkurung</v>
      </c>
      <c r="B89" s="188"/>
      <c r="D89" s="45"/>
      <c r="E89" s="45"/>
      <c r="F89" s="45"/>
      <c r="G89" s="45"/>
      <c r="H89" s="45"/>
      <c r="I89" s="45"/>
      <c r="K89" s="168"/>
      <c r="L89" s="168"/>
      <c r="M89" s="168"/>
      <c r="N89" s="168"/>
    </row>
    <row r="90" spans="1:14" ht="31" customHeight="1">
      <c r="A90" s="189"/>
      <c r="B90" s="189"/>
      <c r="D90" s="176" t="s">
        <v>582</v>
      </c>
      <c r="E90" s="177"/>
      <c r="F90" s="177"/>
      <c r="G90" s="177"/>
      <c r="H90" s="177"/>
      <c r="I90" s="178"/>
      <c r="K90" s="168"/>
      <c r="L90" s="168"/>
      <c r="M90" s="168"/>
      <c r="N90" s="168"/>
    </row>
    <row r="91" spans="1:14">
      <c r="A91" s="5"/>
      <c r="D91" s="8"/>
      <c r="E91" s="8"/>
      <c r="F91" s="8"/>
      <c r="G91" s="8"/>
      <c r="H91" s="8"/>
      <c r="I91" s="8"/>
      <c r="K91" s="169"/>
      <c r="L91" s="169"/>
      <c r="M91" s="169"/>
      <c r="N91" s="169"/>
    </row>
    <row r="92" spans="1:14">
      <c r="A92" s="4" t="s">
        <v>1314</v>
      </c>
      <c r="D92" s="8"/>
      <c r="E92" s="8"/>
      <c r="F92" s="8"/>
      <c r="G92" s="8"/>
      <c r="H92" s="8"/>
      <c r="I92" s="8"/>
    </row>
    <row r="93" spans="1:14">
      <c r="A93" s="7" t="s">
        <v>7</v>
      </c>
      <c r="B93" s="6" t="b">
        <v>0</v>
      </c>
      <c r="D93" s="170" t="str">
        <f>IF(COUNTIF(B93:B94,TRUE)&gt;1,"Select only 1",IF(COUNTIF(B93:B94,FALSE)=2,"Please select either “Yes” or “No.” Only one option may be selected.",CONCATENATE('back-data'!B31," - (",'back-data'!C31,")")))</f>
        <v>Please select either “Yes” or “No.” Only one option may be selected.</v>
      </c>
      <c r="E93" s="171"/>
      <c r="F93" s="171"/>
      <c r="G93" s="171"/>
      <c r="H93" s="171"/>
      <c r="I93" s="172"/>
      <c r="K93" s="167" t="str">
        <f>IF(COUNTIF(B93:B94,TRUE),"",_xlfn._LONGTEXT("Note: This question is used to identify whether lifting operations involving cranes, hoists, forklifts or other lifting equipment are carried out at the workplace. Where applicable, the organisation shall ensure the integrity, safe operation and legal com","pliance of such equipment through required permits, certificates, inspections, competent operators, licensing or approvals under applicable occupational safety and health legislation."))</f>
        <v>Note: This question is used to identify whether lifting operations involving cranes, hoists, forklifts or other lifting equipment are carried out at the workplace. Where applicable, the organisation shall ensure the integrity, safe operation and legal compliance of such equipment through required permits, certificates, inspections, competent operators, licensing or approvals under applicable occupational safety and health legislation.</v>
      </c>
      <c r="L93" s="167"/>
      <c r="M93" s="167"/>
      <c r="N93" s="167"/>
    </row>
    <row r="94" spans="1:14" ht="30" customHeight="1">
      <c r="A94" s="44" t="s">
        <v>8</v>
      </c>
      <c r="B94" s="43" t="b">
        <v>0</v>
      </c>
      <c r="D94" s="173"/>
      <c r="E94" s="174"/>
      <c r="F94" s="174"/>
      <c r="G94" s="174"/>
      <c r="H94" s="174"/>
      <c r="I94" s="175"/>
      <c r="K94" s="167"/>
      <c r="L94" s="167"/>
      <c r="M94" s="167"/>
      <c r="N94" s="167"/>
    </row>
    <row r="95" spans="1:14" ht="5" customHeight="1">
      <c r="A95" s="188" t="str">
        <f>IF('back-data'!$A$1=1,"Bahasa Malaysia:Kerja-kerja mengangkat menggunakan kren, hoist, forklift","")</f>
        <v>Bahasa Malaysia:Kerja-kerja mengangkat menggunakan kren, hoist, forklift</v>
      </c>
      <c r="B95" s="188"/>
      <c r="D95" s="45"/>
      <c r="E95" s="45"/>
      <c r="F95" s="45"/>
      <c r="G95" s="45"/>
      <c r="H95" s="45"/>
      <c r="I95" s="45"/>
      <c r="K95" s="168"/>
      <c r="L95" s="168"/>
      <c r="M95" s="168"/>
      <c r="N95" s="168"/>
    </row>
    <row r="96" spans="1:14" ht="31" customHeight="1">
      <c r="A96" s="189"/>
      <c r="B96" s="189"/>
      <c r="D96" s="176" t="s">
        <v>582</v>
      </c>
      <c r="E96" s="177"/>
      <c r="F96" s="177"/>
      <c r="G96" s="177"/>
      <c r="H96" s="177"/>
      <c r="I96" s="178"/>
      <c r="K96" s="168"/>
      <c r="L96" s="168"/>
      <c r="M96" s="168"/>
      <c r="N96" s="168"/>
    </row>
    <row r="97" spans="1:14">
      <c r="A97" s="5"/>
      <c r="D97" s="8"/>
      <c r="E97" s="8"/>
      <c r="F97" s="8"/>
      <c r="G97" s="8"/>
      <c r="H97" s="8"/>
      <c r="I97" s="8"/>
      <c r="K97" s="169"/>
      <c r="L97" s="169"/>
      <c r="M97" s="169"/>
      <c r="N97" s="169"/>
    </row>
    <row r="98" spans="1:14">
      <c r="A98" s="4" t="s">
        <v>1315</v>
      </c>
      <c r="D98" s="8"/>
      <c r="E98" s="8"/>
      <c r="F98" s="8"/>
      <c r="G98" s="8"/>
      <c r="H98" s="8"/>
      <c r="I98" s="8"/>
    </row>
    <row r="99" spans="1:14">
      <c r="A99" s="7" t="s">
        <v>7</v>
      </c>
      <c r="B99" s="6" t="b">
        <v>0</v>
      </c>
      <c r="D99" s="170" t="str">
        <f>IF(COUNTIF(B99:B100,TRUE)&gt;1,"Select only 1",IF(COUNTIF(B99:B100,FALSE)=2,"Please select either “Yes” or “No.” Only one option may be selected.",CONCATENATE('back-data'!B32," - (",'back-data'!C32,")")))</f>
        <v>Please select either “Yes” or “No.” Only one option may be selected.</v>
      </c>
      <c r="E99" s="171"/>
      <c r="F99" s="171"/>
      <c r="G99" s="171"/>
      <c r="H99" s="171"/>
      <c r="I99" s="172"/>
      <c r="K99" s="167" t="str">
        <f>IF(COUNTIF(B99:B100,TRUE),"",_xlfn._LONGTEXT("Note: Hot work means any process involving the generation of heat by a naked flame, electrical arc, sparks or other heat sources capable of causing ignition, as defined in DOSH Code of Practices (Construction) 2019. This question is used to identify wheth","er welding, cutting or hot work activities are carried out at the workplace. Where applicable, the organisation shall comply with relevant safety and health requirements, including risk assessment, permit to work, fire prevention, gas cylinder control, PP","E, competent personnel and emergency preparedness."))</f>
        <v>Note: Hot work means any process involving the generation of heat by a naked flame, electrical arc, sparks or other heat sources capable of causing ignition, as defined in DOSH Code of Practices (Construction) 2019. This question is used to identify whether welding, cutting or hot work activities are carried out at the workplace. Where applicable, the organisation shall comply with relevant safety and health requirements, including risk assessment, permit to work, fire prevention, gas cylinder control, PPE, competent personnel and emergency preparedness.</v>
      </c>
      <c r="L99" s="167"/>
      <c r="M99" s="167"/>
      <c r="N99" s="167"/>
    </row>
    <row r="100" spans="1:14" ht="30" customHeight="1">
      <c r="A100" s="44" t="s">
        <v>8</v>
      </c>
      <c r="B100" s="43" t="b">
        <v>0</v>
      </c>
      <c r="D100" s="173"/>
      <c r="E100" s="174"/>
      <c r="F100" s="174"/>
      <c r="G100" s="174"/>
      <c r="H100" s="174"/>
      <c r="I100" s="175"/>
      <c r="K100" s="167"/>
      <c r="L100" s="167"/>
      <c r="M100" s="167"/>
      <c r="N100" s="167"/>
    </row>
    <row r="101" spans="1:14" ht="5" customHeight="1">
      <c r="A101" s="188" t="str">
        <f>IF('back-data'!$A$1=1,"Bahasa Malaysia:Aktiviti kimpalan, pemotongan atau kerja panas (Hot Work)","")</f>
        <v>Bahasa Malaysia:Aktiviti kimpalan, pemotongan atau kerja panas (Hot Work)</v>
      </c>
      <c r="B101" s="188"/>
      <c r="D101" s="45"/>
      <c r="E101" s="45"/>
      <c r="F101" s="45"/>
      <c r="G101" s="45"/>
      <c r="H101" s="45"/>
      <c r="I101" s="45"/>
      <c r="K101" s="168"/>
      <c r="L101" s="168"/>
      <c r="M101" s="168"/>
      <c r="N101" s="168"/>
    </row>
    <row r="102" spans="1:14" ht="31" customHeight="1">
      <c r="A102" s="189"/>
      <c r="B102" s="189"/>
      <c r="D102" s="176" t="s">
        <v>582</v>
      </c>
      <c r="E102" s="177"/>
      <c r="F102" s="177"/>
      <c r="G102" s="177"/>
      <c r="H102" s="177"/>
      <c r="I102" s="178"/>
      <c r="K102" s="168"/>
      <c r="L102" s="168"/>
      <c r="M102" s="168"/>
      <c r="N102" s="168"/>
    </row>
    <row r="103" spans="1:14">
      <c r="A103" s="4"/>
      <c r="D103" s="8"/>
      <c r="E103" s="8"/>
      <c r="F103" s="8"/>
      <c r="G103" s="8"/>
      <c r="H103" s="8"/>
      <c r="I103" s="8"/>
      <c r="K103" s="169"/>
      <c r="L103" s="169"/>
      <c r="M103" s="169"/>
      <c r="N103" s="169"/>
    </row>
    <row r="104" spans="1:14">
      <c r="A104" s="4" t="s">
        <v>1316</v>
      </c>
      <c r="D104" s="8"/>
      <c r="E104" s="8"/>
      <c r="F104" s="8"/>
      <c r="G104" s="8"/>
      <c r="H104" s="8"/>
      <c r="I104" s="8"/>
    </row>
    <row r="105" spans="1:14">
      <c r="A105" s="7" t="s">
        <v>7</v>
      </c>
      <c r="B105" s="6" t="b">
        <v>0</v>
      </c>
      <c r="D105" s="170" t="str">
        <f>IF(COUNTIF(B105:B106,TRUE)&gt;1,"Select only 1",IF(COUNTIF(B105:B106,FALSE)=2,"Please select either “Yes” or “No.” Only one option may be selected.",CONCATENATE('back-data'!B33," - (",'back-data'!C33,")")))</f>
        <v>Please select either “Yes” or “No.” Only one option may be selected.</v>
      </c>
      <c r="E105" s="171"/>
      <c r="F105" s="171"/>
      <c r="G105" s="171"/>
      <c r="H105" s="171"/>
      <c r="I105" s="172"/>
      <c r="K105" s="167" t="str">
        <f>IF(COUNTIF(B105:B106,TRUE),"",_xlfn._LONGTEXT("Note: Note: Pressure equipment includes boilers, pressure vessels and pressurised systems requiring legal approval or a Certificate of Fitness. Where applicable, ensure registration, inspection, competent persons, maintenance and periodic examination for ","safe operation."))</f>
        <v>Note: Note: Pressure equipment includes boilers, pressure vessels and pressurised systems requiring legal approval or a Certificate of Fitness. Where applicable, ensure registration, inspection, competent persons, maintenance and periodic examination for safe operation.</v>
      </c>
      <c r="L105" s="167"/>
      <c r="M105" s="167"/>
      <c r="N105" s="167"/>
    </row>
    <row r="106" spans="1:14" ht="30" customHeight="1">
      <c r="A106" s="44" t="s">
        <v>8</v>
      </c>
      <c r="B106" s="43" t="b">
        <v>0</v>
      </c>
      <c r="D106" s="173"/>
      <c r="E106" s="174"/>
      <c r="F106" s="174"/>
      <c r="G106" s="174"/>
      <c r="H106" s="174"/>
      <c r="I106" s="175"/>
      <c r="K106" s="167"/>
      <c r="L106" s="167"/>
      <c r="M106" s="167"/>
      <c r="N106" s="167"/>
    </row>
    <row r="107" spans="1:14" ht="5" customHeight="1">
      <c r="A107" s="188" t="str">
        <f>IF('back-data'!$A$1=1,"Bahasa Malaysia:Penggunaan peralatan bertekanan atau sistem bertekanan","")</f>
        <v>Bahasa Malaysia:Penggunaan peralatan bertekanan atau sistem bertekanan</v>
      </c>
      <c r="B107" s="188"/>
      <c r="D107" s="45"/>
      <c r="E107" s="45"/>
      <c r="F107" s="45"/>
      <c r="G107" s="45"/>
      <c r="H107" s="45"/>
      <c r="I107" s="45"/>
      <c r="K107" s="168"/>
      <c r="L107" s="168"/>
      <c r="M107" s="168"/>
      <c r="N107" s="168"/>
    </row>
    <row r="108" spans="1:14" ht="31" customHeight="1">
      <c r="A108" s="189"/>
      <c r="B108" s="189"/>
      <c r="D108" s="176" t="s">
        <v>582</v>
      </c>
      <c r="E108" s="177"/>
      <c r="F108" s="177"/>
      <c r="G108" s="177"/>
      <c r="H108" s="177"/>
      <c r="I108" s="178"/>
      <c r="K108" s="168"/>
      <c r="L108" s="168"/>
      <c r="M108" s="168"/>
      <c r="N108" s="168"/>
    </row>
    <row r="109" spans="1:14">
      <c r="A109" s="4"/>
      <c r="D109" s="8"/>
      <c r="E109" s="8"/>
      <c r="F109" s="8"/>
      <c r="G109" s="8"/>
      <c r="H109" s="8"/>
      <c r="I109" s="8"/>
      <c r="K109" s="169"/>
      <c r="L109" s="169"/>
      <c r="M109" s="169"/>
      <c r="N109" s="169"/>
    </row>
    <row r="110" spans="1:14">
      <c r="A110" s="4" t="s">
        <v>1317</v>
      </c>
      <c r="D110" s="8"/>
      <c r="E110" s="8"/>
      <c r="F110" s="8"/>
      <c r="G110" s="8"/>
      <c r="H110" s="8"/>
      <c r="I110" s="8"/>
    </row>
    <row r="111" spans="1:14">
      <c r="A111" s="7" t="s">
        <v>7</v>
      </c>
      <c r="B111" s="6" t="b">
        <v>0</v>
      </c>
      <c r="D111" s="170" t="str">
        <f>IF(COUNTIF(B111:B112,TRUE)&gt;1,"Select only 1",IF(COUNTIF(B111:B112,FALSE)=2,"Please select either “Yes” or “No.” Only one option may be selected.",CONCATENATE('back-data'!B34," - (",'back-data'!C34,")")))</f>
        <v>Please select either “Yes” or “No.” Only one option may be selected.</v>
      </c>
      <c r="E111" s="171"/>
      <c r="F111" s="171"/>
      <c r="G111" s="171"/>
      <c r="H111" s="171"/>
      <c r="I111" s="172"/>
      <c r="K111" s="167" t="str">
        <f>IF(COUNTIF(B111:B112,TRUE),"",_xlfn._LONGTEXT("Note: Mobile machinery includes self-propelled plant or vehicles used to lift, transport or handle materials or personnel. Where applicable, ensure competent operators, safe operation, traffic control, inspection, maintenance and required licences or perm","its."))</f>
        <v>Note: Mobile machinery includes self-propelled plant or vehicles used to lift, transport or handle materials or personnel. Where applicable, ensure competent operators, safe operation, traffic control, inspection, maintenance and required licences or permits.</v>
      </c>
      <c r="L111" s="167"/>
      <c r="M111" s="167"/>
      <c r="N111" s="167"/>
    </row>
    <row r="112" spans="1:14" ht="30" customHeight="1">
      <c r="A112" s="44" t="s">
        <v>8</v>
      </c>
      <c r="B112" s="43" t="b">
        <v>0</v>
      </c>
      <c r="D112" s="173"/>
      <c r="E112" s="174"/>
      <c r="F112" s="174"/>
      <c r="G112" s="174"/>
      <c r="H112" s="174"/>
      <c r="I112" s="175"/>
      <c r="K112" s="167"/>
      <c r="L112" s="167"/>
      <c r="M112" s="167"/>
      <c r="N112" s="167"/>
    </row>
    <row r="113" spans="1:14" ht="5" customHeight="1">
      <c r="A113" s="188" t="str">
        <f>IF('back-data'!$A$1=1,"Bahasa Malaysia:Pengendalian jentera bergerak atau kenderaan industri","")</f>
        <v>Bahasa Malaysia:Pengendalian jentera bergerak atau kenderaan industri</v>
      </c>
      <c r="B113" s="188"/>
      <c r="D113" s="45"/>
      <c r="E113" s="45"/>
      <c r="F113" s="45"/>
      <c r="G113" s="45"/>
      <c r="H113" s="45"/>
      <c r="I113" s="45"/>
      <c r="K113" s="168"/>
      <c r="L113" s="168"/>
      <c r="M113" s="168"/>
      <c r="N113" s="168"/>
    </row>
    <row r="114" spans="1:14" ht="31" customHeight="1">
      <c r="A114" s="189"/>
      <c r="B114" s="189"/>
      <c r="D114" s="176" t="s">
        <v>582</v>
      </c>
      <c r="E114" s="177"/>
      <c r="F114" s="177"/>
      <c r="G114" s="177"/>
      <c r="H114" s="177"/>
      <c r="I114" s="178"/>
      <c r="K114" s="168"/>
      <c r="L114" s="168"/>
      <c r="M114" s="168"/>
      <c r="N114" s="168"/>
    </row>
    <row r="115" spans="1:14">
      <c r="A115" s="4"/>
      <c r="D115" s="8"/>
      <c r="E115" s="8"/>
      <c r="F115" s="8"/>
      <c r="G115" s="8"/>
      <c r="H115" s="8"/>
      <c r="I115" s="8"/>
      <c r="K115" s="169"/>
      <c r="L115" s="169"/>
      <c r="M115" s="169"/>
      <c r="N115" s="169"/>
    </row>
    <row r="116" spans="1:14">
      <c r="A116" s="4" t="s">
        <v>1318</v>
      </c>
      <c r="D116" s="8"/>
      <c r="E116" s="8"/>
      <c r="F116" s="8"/>
      <c r="G116" s="8"/>
      <c r="H116" s="8"/>
      <c r="I116" s="8"/>
    </row>
    <row r="117" spans="1:14">
      <c r="A117" s="7" t="s">
        <v>7</v>
      </c>
      <c r="B117" s="6" t="b">
        <v>0</v>
      </c>
      <c r="D117" s="170" t="str">
        <f>IF(COUNTIF(B117:B118,TRUE)&gt;1,"Select only 1",IF(COUNTIF(B117:B118,FALSE)=2,"Please select either “Yes” or “No.” Only one option may be selected.",CONCATENATE('back-data'!B35," - (",'back-data'!C35,")")))</f>
        <v>Please select either “Yes” or “No.” Only one option may be selected.</v>
      </c>
      <c r="E117" s="171"/>
      <c r="F117" s="171"/>
      <c r="G117" s="171"/>
      <c r="H117" s="171"/>
      <c r="I117" s="172"/>
      <c r="K117" s="167" t="str">
        <f>IF(COUNTIF(B117:B118,TRUE),"",_xlfn._LONGTEXT("Note: Manual handling of heavy loads means any activity requiring a person to lift, lower, push, pull, carry, move, hold or restrain a load by physical effort, as defined in the Guidelines for Manual Handling at Workplace 2018. This question is used to id","entify whether employees, contractors or subcontractors are involved in manual handling of heavy loads. Where applicable, the organisation shall assess and control the risk of occupational health effects and physical injuries, including musculoskeletal di","sorders, strains, sprains and other handling-related injuries."))</f>
        <v>Note: Manual handling of heavy loads means any activity requiring a person to lift, lower, push, pull, carry, move, hold or restrain a load by physical effort, as defined in the Guidelines for Manual Handling at Workplace 2018. This question is used to identify whether employees, contractors or subcontractors are involved in manual handling of heavy loads. Where applicable, the organisation shall assess and control the risk of occupational health effects and physical injuries, including musculoskeletal disorders, strains, sprains and other handling-related injuries.</v>
      </c>
      <c r="L117" s="167"/>
      <c r="M117" s="167"/>
      <c r="N117" s="167"/>
    </row>
    <row r="118" spans="1:14" ht="30" customHeight="1">
      <c r="A118" s="44" t="s">
        <v>8</v>
      </c>
      <c r="B118" s="43" t="b">
        <v>0</v>
      </c>
      <c r="D118" s="173"/>
      <c r="E118" s="174"/>
      <c r="F118" s="174"/>
      <c r="G118" s="174"/>
      <c r="H118" s="174"/>
      <c r="I118" s="175"/>
      <c r="K118" s="167"/>
      <c r="L118" s="167"/>
      <c r="M118" s="167"/>
      <c r="N118" s="167"/>
    </row>
    <row r="119" spans="1:14" ht="5" customHeight="1">
      <c r="A119" s="188" t="str">
        <f>IF('back-data'!$A$1=1,"Bahasa Malaysia:Pengendalian manual beban berat","")</f>
        <v>Bahasa Malaysia:Pengendalian manual beban berat</v>
      </c>
      <c r="B119" s="188"/>
      <c r="D119" s="45"/>
      <c r="E119" s="45"/>
      <c r="F119" s="45"/>
      <c r="G119" s="45"/>
      <c r="H119" s="45"/>
      <c r="I119" s="45"/>
      <c r="K119" s="168"/>
      <c r="L119" s="168"/>
      <c r="M119" s="168"/>
      <c r="N119" s="168"/>
    </row>
    <row r="120" spans="1:14" ht="31" customHeight="1">
      <c r="A120" s="189"/>
      <c r="B120" s="189"/>
      <c r="D120" s="176" t="s">
        <v>640</v>
      </c>
      <c r="E120" s="177"/>
      <c r="F120" s="177"/>
      <c r="G120" s="177"/>
      <c r="H120" s="177"/>
      <c r="I120" s="178"/>
      <c r="K120" s="168"/>
      <c r="L120" s="168"/>
      <c r="M120" s="168"/>
      <c r="N120" s="168"/>
    </row>
    <row r="121" spans="1:14">
      <c r="A121" s="4"/>
      <c r="D121" s="8"/>
      <c r="E121" s="8"/>
      <c r="F121" s="8"/>
      <c r="G121" s="8"/>
      <c r="H121" s="8"/>
      <c r="I121" s="8"/>
      <c r="K121" s="169"/>
      <c r="L121" s="169"/>
      <c r="M121" s="169"/>
      <c r="N121" s="169"/>
    </row>
    <row r="122" spans="1:14">
      <c r="A122" s="4" t="s">
        <v>1319</v>
      </c>
      <c r="D122" s="8"/>
      <c r="E122" s="8"/>
      <c r="F122" s="8"/>
      <c r="G122" s="8"/>
      <c r="H122" s="8"/>
      <c r="I122" s="8"/>
    </row>
    <row r="123" spans="1:14">
      <c r="A123" s="7" t="s">
        <v>7</v>
      </c>
      <c r="B123" s="6" t="b">
        <v>0</v>
      </c>
      <c r="D123" s="170" t="str">
        <f>IF(COUNTIF(B123:B124,TRUE)&gt;1,"Select only 1",IF(COUNTIF(B123:B124,FALSE)=2,"Please select either “Yes” or “No.” Only one option may be selected.",CONCATENATE('back-data'!B36," - (",'back-data'!C36,")")))</f>
        <v>Please select either “Yes” or “No.” Only one option may be selected.</v>
      </c>
      <c r="E123" s="171"/>
      <c r="F123" s="171"/>
      <c r="G123" s="171"/>
      <c r="H123" s="171"/>
      <c r="I123" s="172"/>
      <c r="K123" s="167" t="str">
        <f>IF(COUNTIF(B123:B124,TRUE),"","Note: Maintenance or servicing includes inspection, testing, repair, cleaning and upkeep of equipment or machinery. Where applicable, follow relevant safety procedures, controls and work instructions to prevent injury and equipment-related incidents.")</f>
        <v>Note: Maintenance or servicing includes inspection, testing, repair, cleaning and upkeep of equipment or machinery. Where applicable, follow relevant safety procedures, controls and work instructions to prevent injury and equipment-related incidents.</v>
      </c>
      <c r="L123" s="167"/>
      <c r="M123" s="167"/>
      <c r="N123" s="167"/>
    </row>
    <row r="124" spans="1:14" ht="30" customHeight="1">
      <c r="A124" s="44" t="s">
        <v>8</v>
      </c>
      <c r="B124" s="43" t="b">
        <v>0</v>
      </c>
      <c r="D124" s="173"/>
      <c r="E124" s="174"/>
      <c r="F124" s="174"/>
      <c r="G124" s="174"/>
      <c r="H124" s="174"/>
      <c r="I124" s="175"/>
      <c r="K124" s="167"/>
      <c r="L124" s="167"/>
      <c r="M124" s="167"/>
      <c r="N124" s="167"/>
    </row>
    <row r="125" spans="1:14" ht="5" customHeight="1">
      <c r="A125" s="188" t="str">
        <f>IF('back-data'!$A$1=1,"Bahasa Malaysia:Aktiviti penyelenggaraan atau kerja servis melibatkan peralatan atau mesin","")</f>
        <v>Bahasa Malaysia:Aktiviti penyelenggaraan atau kerja servis melibatkan peralatan atau mesin</v>
      </c>
      <c r="B125" s="188"/>
      <c r="D125" s="45"/>
      <c r="E125" s="45"/>
      <c r="F125" s="45"/>
      <c r="G125" s="45"/>
      <c r="H125" s="45"/>
      <c r="I125" s="45"/>
      <c r="K125" s="168"/>
      <c r="L125" s="168"/>
      <c r="M125" s="168"/>
      <c r="N125" s="168"/>
    </row>
    <row r="126" spans="1:14" ht="31" customHeight="1">
      <c r="A126" s="189"/>
      <c r="B126" s="189"/>
      <c r="D126" s="176" t="s">
        <v>582</v>
      </c>
      <c r="E126" s="177"/>
      <c r="F126" s="177"/>
      <c r="G126" s="177"/>
      <c r="H126" s="177"/>
      <c r="I126" s="178"/>
      <c r="K126" s="168"/>
      <c r="L126" s="168"/>
      <c r="M126" s="168"/>
      <c r="N126" s="168"/>
    </row>
    <row r="127" spans="1:14">
      <c r="A127" s="7"/>
      <c r="D127" s="45"/>
      <c r="E127" s="45"/>
      <c r="F127" s="45"/>
      <c r="G127" s="45"/>
      <c r="H127" s="45"/>
      <c r="I127" s="45"/>
      <c r="K127" s="169"/>
      <c r="L127" s="169"/>
      <c r="M127" s="169"/>
      <c r="N127" s="169"/>
    </row>
    <row r="128" spans="1:14">
      <c r="A128" s="4"/>
      <c r="D128" s="8"/>
      <c r="E128" s="8"/>
      <c r="F128" s="8"/>
      <c r="G128" s="8"/>
      <c r="H128" s="8"/>
      <c r="I128" s="8"/>
      <c r="K128" s="169"/>
      <c r="L128" s="169"/>
      <c r="M128" s="169"/>
      <c r="N128" s="169"/>
    </row>
    <row r="129" spans="1:14" ht="31">
      <c r="A129" s="1" t="s">
        <v>586</v>
      </c>
      <c r="D129" s="8"/>
      <c r="E129" s="8"/>
      <c r="F129" s="8"/>
      <c r="G129" s="8"/>
      <c r="H129" s="8"/>
      <c r="I129" s="8"/>
    </row>
    <row r="130" spans="1:14">
      <c r="A130" s="4" t="s">
        <v>1320</v>
      </c>
      <c r="D130" s="8"/>
      <c r="E130" s="8"/>
      <c r="F130" s="8"/>
      <c r="G130" s="8"/>
      <c r="H130" s="8"/>
      <c r="I130" s="8"/>
    </row>
    <row r="131" spans="1:14">
      <c r="A131" s="7" t="s">
        <v>7</v>
      </c>
      <c r="B131" s="6" t="b">
        <v>0</v>
      </c>
      <c r="D131" s="170" t="str">
        <f>IF(COUNTIF(B131:B132,TRUE)&gt;1,"Select only 1",IF(COUNTIF(B131:B132,FALSE)=2,"Please select either “Yes” or “No.” Only one option may be selected.",CONCATENATE('back-data'!B37," - (",'back-data'!C37,")")))</f>
        <v>Please select either “Yes” or “No.” Only one option may be selected.</v>
      </c>
      <c r="E131" s="171"/>
      <c r="F131" s="171"/>
      <c r="G131" s="171"/>
      <c r="H131" s="171"/>
      <c r="I131" s="172"/>
      <c r="K131" s="167" t="str">
        <f>IF(COUNTIF(B131:B132,TRUE),"",_xlfn._LONGTEXT("Note: Hazardous chemicals include chemicals, fumes, vapours and airborne contaminants that may harm workers, as defined under the USECHH Regulations 2000. Where applicable, ensure risk assessment, exposure controls, safe handling, labelling, SDS, monitori","ng, health surveillance, training and emergency preparedness."))</f>
        <v>Note: Hazardous chemicals include chemicals, fumes, vapours and airborne contaminants that may harm workers, as defined under the USECHH Regulations 2000. Where applicable, ensure risk assessment, exposure controls, safe handling, labelling, SDS, monitoring, health surveillance, training and emergency preparedness.</v>
      </c>
      <c r="L131" s="167"/>
      <c r="M131" s="167"/>
      <c r="N131" s="167"/>
    </row>
    <row r="132" spans="1:14" ht="30" customHeight="1">
      <c r="A132" s="44" t="s">
        <v>8</v>
      </c>
      <c r="B132" s="43" t="b">
        <v>0</v>
      </c>
      <c r="D132" s="173"/>
      <c r="E132" s="174"/>
      <c r="F132" s="174"/>
      <c r="G132" s="174"/>
      <c r="H132" s="174"/>
      <c r="I132" s="175"/>
      <c r="K132" s="167"/>
      <c r="L132" s="167"/>
      <c r="M132" s="167"/>
      <c r="N132" s="167"/>
    </row>
    <row r="133" spans="1:14" ht="5" customHeight="1">
      <c r="A133" s="188" t="str">
        <f>IF('back-data'!$A$1=1,"Bahasa Malaysia:Penggunaan bahan kimia berbahaya (termasuk wasap) di tempat kerja","")</f>
        <v>Bahasa Malaysia:Penggunaan bahan kimia berbahaya (termasuk wasap) di tempat kerja</v>
      </c>
      <c r="B133" s="188"/>
      <c r="D133" s="45"/>
      <c r="E133" s="45"/>
      <c r="F133" s="45"/>
      <c r="G133" s="45"/>
      <c r="H133" s="45"/>
      <c r="I133" s="45"/>
      <c r="K133" s="168"/>
      <c r="L133" s="168"/>
      <c r="M133" s="168"/>
      <c r="N133" s="168"/>
    </row>
    <row r="134" spans="1:14" ht="31" customHeight="1">
      <c r="A134" s="189"/>
      <c r="B134" s="189"/>
      <c r="D134" s="176" t="s">
        <v>582</v>
      </c>
      <c r="E134" s="177"/>
      <c r="F134" s="177"/>
      <c r="G134" s="177"/>
      <c r="H134" s="177"/>
      <c r="I134" s="178"/>
      <c r="K134" s="168"/>
      <c r="L134" s="168"/>
      <c r="M134" s="168"/>
      <c r="N134" s="168"/>
    </row>
    <row r="135" spans="1:14">
      <c r="A135" s="4"/>
      <c r="D135" s="8"/>
      <c r="E135" s="8"/>
      <c r="F135" s="8"/>
      <c r="G135" s="8"/>
      <c r="H135" s="8"/>
      <c r="I135" s="8"/>
      <c r="K135" s="169"/>
      <c r="L135" s="169"/>
      <c r="M135" s="169"/>
      <c r="N135" s="169"/>
    </row>
    <row r="136" spans="1:14">
      <c r="A136" s="4" t="s">
        <v>1321</v>
      </c>
      <c r="D136" s="8"/>
      <c r="E136" s="8"/>
      <c r="F136" s="8"/>
      <c r="G136" s="8"/>
      <c r="H136" s="8"/>
      <c r="I136" s="8"/>
    </row>
    <row r="137" spans="1:14">
      <c r="A137" s="7" t="s">
        <v>7</v>
      </c>
      <c r="B137" s="6" t="b">
        <v>0</v>
      </c>
      <c r="D137" s="170" t="str">
        <f>IF(COUNTIF(B137:B138,TRUE)&gt;1,"Select only 1",IF(COUNTIF(B137:B138,FALSE)=2,"Please select either “Yes” or “No.” Only one option may be selected.",CONCATENATE('back-data'!B38," - (",'back-data'!C38,")")))</f>
        <v>Please select either “Yes” or “No.” Only one option may be selected.</v>
      </c>
      <c r="E137" s="171"/>
      <c r="F137" s="171"/>
      <c r="G137" s="171"/>
      <c r="H137" s="171"/>
      <c r="I137" s="172"/>
      <c r="K137" s="167" t="str">
        <f>IF(COUNTIF(B137:B138,TRUE),"",_xlfn._LONGTEXT("Note: Flammable or combustible substances refer to chemicals classified as physical hazards that can ignite or support combustion, in accordance with the CLASS Regulations. This question is used to identify whether flammable or combustible substances are ","stored at the workplace. Where applicable, the organisation shall ensure proper handling, storage and control measures are implemented to prevent fire, explosion, unsafe emissions, environmental release, health effects or other safety risks arising from t","he storage or keeping process."))</f>
        <v>Note: Flammable or combustible substances refer to chemicals classified as physical hazards that can ignite or support combustion, in accordance with the CLASS Regulations. This question is used to identify whether flammable or combustible substances are stored at the workplace. Where applicable, the organisation shall ensure proper handling, storage and control measures are implemented to prevent fire, explosion, unsafe emissions, environmental release, health effects or other safety risks arising from the storage or keeping process.</v>
      </c>
      <c r="L137" s="167"/>
      <c r="M137" s="167"/>
      <c r="N137" s="167"/>
    </row>
    <row r="138" spans="1:14" ht="30" customHeight="1">
      <c r="A138" s="44" t="s">
        <v>8</v>
      </c>
      <c r="B138" s="43" t="b">
        <v>0</v>
      </c>
      <c r="D138" s="173"/>
      <c r="E138" s="174"/>
      <c r="F138" s="174"/>
      <c r="G138" s="174"/>
      <c r="H138" s="174"/>
      <c r="I138" s="175"/>
      <c r="K138" s="167"/>
      <c r="L138" s="167"/>
      <c r="M138" s="167"/>
      <c r="N138" s="167"/>
    </row>
    <row r="139" spans="1:14" ht="5" customHeight="1">
      <c r="A139" s="188" t="str">
        <f>IF('back-data'!$A$1=1,"Bahasa Malaysia:Penyimpanan bahan mudah terbakar atau mudah menyala","")</f>
        <v>Bahasa Malaysia:Penyimpanan bahan mudah terbakar atau mudah menyala</v>
      </c>
      <c r="B139" s="188"/>
      <c r="D139" s="45"/>
      <c r="E139" s="45"/>
      <c r="F139" s="45"/>
      <c r="G139" s="45"/>
      <c r="H139" s="45"/>
      <c r="I139" s="45"/>
      <c r="K139" s="168"/>
      <c r="L139" s="168"/>
      <c r="M139" s="168"/>
      <c r="N139" s="168"/>
    </row>
    <row r="140" spans="1:14" ht="31" customHeight="1">
      <c r="A140" s="189"/>
      <c r="B140" s="189"/>
      <c r="D140" s="176" t="s">
        <v>582</v>
      </c>
      <c r="E140" s="177"/>
      <c r="F140" s="177"/>
      <c r="G140" s="177"/>
      <c r="H140" s="177"/>
      <c r="I140" s="178"/>
      <c r="K140" s="168"/>
      <c r="L140" s="168"/>
      <c r="M140" s="168"/>
      <c r="N140" s="168"/>
    </row>
    <row r="141" spans="1:14">
      <c r="A141" s="4"/>
      <c r="D141" s="8"/>
      <c r="E141" s="8"/>
      <c r="F141" s="8"/>
      <c r="G141" s="8"/>
      <c r="H141" s="8"/>
      <c r="I141" s="8"/>
      <c r="K141" s="169"/>
      <c r="L141" s="169"/>
      <c r="M141" s="169"/>
      <c r="N141" s="169"/>
    </row>
    <row r="142" spans="1:14">
      <c r="A142" s="4"/>
      <c r="D142" s="8"/>
      <c r="E142" s="8"/>
      <c r="F142" s="8"/>
      <c r="G142" s="8"/>
      <c r="H142" s="8"/>
      <c r="I142" s="8"/>
    </row>
    <row r="143" spans="1:14">
      <c r="A143" s="4" t="s">
        <v>2238</v>
      </c>
      <c r="D143" s="8"/>
      <c r="E143" s="8"/>
      <c r="F143" s="8"/>
      <c r="G143" s="8"/>
      <c r="H143" s="8"/>
      <c r="I143" s="8"/>
    </row>
    <row r="144" spans="1:14">
      <c r="A144" s="7" t="s">
        <v>7</v>
      </c>
      <c r="B144" s="6" t="b">
        <v>0</v>
      </c>
      <c r="D144" s="170" t="str">
        <f>IF(COUNTIF(B144:B145,TRUE)&gt;1,"Select only 1",IF(COUNTIF(B144:B145,FALSE)=2,"Please select either “Yes” or “No.” Only one option may be selected.",CONCATENATE('back-data'!B39," - (",'back-data'!C39,")")))</f>
        <v>Please select either “Yes” or “No.” Only one option may be selected.</v>
      </c>
      <c r="E144" s="171"/>
      <c r="F144" s="171"/>
      <c r="G144" s="171"/>
      <c r="H144" s="171"/>
      <c r="I144" s="172"/>
      <c r="K144" s="167" t="str">
        <f>IF(COUNTIF(B144:B145,TRUE),"","Note: Pesticides and extremely hazardous chemicals are regulated under the Pesticides Act 1974 and CLASS and USECHH Regulations. Where used, stored or handled, exposure risks shall be controlled to protect workers, the public and the environment.")</f>
        <v>Note: Pesticides and extremely hazardous chemicals are regulated under the Pesticides Act 1974 and CLASS and USECHH Regulations. Where used, stored or handled, exposure risks shall be controlled to protect workers, the public and the environment.</v>
      </c>
      <c r="L144" s="167"/>
      <c r="M144" s="167"/>
      <c r="N144" s="167"/>
    </row>
    <row r="145" spans="1:14" ht="30" customHeight="1">
      <c r="A145" s="44" t="s">
        <v>8</v>
      </c>
      <c r="B145" s="43" t="b">
        <v>0</v>
      </c>
      <c r="D145" s="173"/>
      <c r="E145" s="174"/>
      <c r="F145" s="174"/>
      <c r="G145" s="174"/>
      <c r="H145" s="174"/>
      <c r="I145" s="175"/>
      <c r="K145" s="167"/>
      <c r="L145" s="167"/>
      <c r="M145" s="167"/>
      <c r="N145" s="167"/>
    </row>
    <row r="146" spans="1:14" ht="5" customHeight="1">
      <c r="A146" s="188" t="str">
        <f>IF('back-data'!$A$1=1,"Bahasa Malaysia:Penggunaan racun perosak dan bahan kimia sangat berbahaya","")</f>
        <v>Bahasa Malaysia:Penggunaan racun perosak dan bahan kimia sangat berbahaya</v>
      </c>
      <c r="B146" s="188"/>
      <c r="D146" s="45"/>
      <c r="E146" s="45"/>
      <c r="F146" s="45"/>
      <c r="G146" s="45"/>
      <c r="H146" s="45"/>
      <c r="I146" s="45"/>
      <c r="K146" s="168"/>
      <c r="L146" s="168"/>
      <c r="M146" s="168"/>
      <c r="N146" s="168"/>
    </row>
    <row r="147" spans="1:14" ht="31" customHeight="1">
      <c r="A147" s="189"/>
      <c r="B147" s="189"/>
      <c r="D147" s="176" t="s">
        <v>582</v>
      </c>
      <c r="E147" s="177"/>
      <c r="F147" s="177"/>
      <c r="G147" s="177"/>
      <c r="H147" s="177"/>
      <c r="I147" s="178"/>
      <c r="K147" s="168"/>
      <c r="L147" s="168"/>
      <c r="M147" s="168"/>
      <c r="N147" s="168"/>
    </row>
    <row r="148" spans="1:14">
      <c r="A148" s="4"/>
      <c r="D148" s="8"/>
      <c r="E148" s="8"/>
      <c r="F148" s="8"/>
      <c r="G148" s="8"/>
      <c r="H148" s="8"/>
      <c r="I148" s="8"/>
    </row>
    <row r="149" spans="1:14">
      <c r="A149" s="4" t="s">
        <v>1322</v>
      </c>
      <c r="D149" s="8"/>
      <c r="E149" s="8"/>
      <c r="F149" s="8"/>
      <c r="G149" s="8"/>
      <c r="H149" s="8"/>
      <c r="I149" s="8"/>
    </row>
    <row r="150" spans="1:14">
      <c r="A150" s="7" t="s">
        <v>7</v>
      </c>
      <c r="B150" s="6" t="b">
        <v>0</v>
      </c>
      <c r="D150" s="170" t="str">
        <f>IF(COUNTIF(B150:B151,TRUE)&gt;1,"Select only 1",IF(COUNTIF(B150:B151,FALSE)=2,"Please select either “Yes” or “No.” Only one option may be selected.",CONCATENATE('back-data'!B40," - (",'back-data'!C40,")")))</f>
        <v>Please select either “Yes” or “No.” Only one option may be selected.</v>
      </c>
      <c r="E150" s="171"/>
      <c r="F150" s="171"/>
      <c r="G150" s="171"/>
      <c r="H150" s="171"/>
      <c r="I150" s="172"/>
      <c r="K150" s="167" t="str">
        <f>IF(COUNTIF(B150:B151,TRUE),"",_xlfn._LONGTEXT("Note: Scheduled waste means any waste specified in the First Schedule of the Environmental Quality (Scheduled Wastes) Regulations 2005, made under the Environmental Quality Act 1974. This question helps determine whether scheduled waste is generated. Wher","e applicable, scheduled waste shall be identified, labelled, handled, stored, transported and disposed of in accordance with the Environmental Quality (Scheduled Wastes) Regulations 2005."))</f>
        <v>Note: Scheduled waste means any waste specified in the First Schedule of the Environmental Quality (Scheduled Wastes) Regulations 2005, made under the Environmental Quality Act 1974. This question helps determine whether scheduled waste is generated. Where applicable, scheduled waste shall be identified, labelled, handled, stored, transported and disposed of in accordance with the Environmental Quality (Scheduled Wastes) Regulations 2005.</v>
      </c>
      <c r="L150" s="167"/>
      <c r="M150" s="167"/>
      <c r="N150" s="167"/>
    </row>
    <row r="151" spans="1:14" ht="30" customHeight="1">
      <c r="A151" s="44" t="s">
        <v>8</v>
      </c>
      <c r="B151" s="43" t="b">
        <v>0</v>
      </c>
      <c r="D151" s="173"/>
      <c r="E151" s="174"/>
      <c r="F151" s="174"/>
      <c r="G151" s="174"/>
      <c r="H151" s="174"/>
      <c r="I151" s="175"/>
      <c r="K151" s="167"/>
      <c r="L151" s="167"/>
      <c r="M151" s="167"/>
      <c r="N151" s="167"/>
    </row>
    <row r="152" spans="1:14" ht="5" customHeight="1">
      <c r="A152" s="188" t="str">
        <f>IF('back-data'!$A$1=1,"Bahasa Malaysia:Penjanaan sisa terjadual (contohnya minyak, pelarut dan sisa kimia)","")</f>
        <v>Bahasa Malaysia:Penjanaan sisa terjadual (contohnya minyak, pelarut dan sisa kimia)</v>
      </c>
      <c r="B152" s="188"/>
      <c r="D152" s="45"/>
      <c r="E152" s="45"/>
      <c r="F152" s="45"/>
      <c r="G152" s="45"/>
      <c r="H152" s="45"/>
      <c r="I152" s="45"/>
      <c r="K152" s="168"/>
      <c r="L152" s="168"/>
      <c r="M152" s="168"/>
      <c r="N152" s="168"/>
    </row>
    <row r="153" spans="1:14" ht="31" customHeight="1">
      <c r="A153" s="189"/>
      <c r="B153" s="189"/>
      <c r="D153" s="176" t="s">
        <v>582</v>
      </c>
      <c r="E153" s="177"/>
      <c r="F153" s="177"/>
      <c r="G153" s="177"/>
      <c r="H153" s="177"/>
      <c r="I153" s="178"/>
      <c r="K153" s="168"/>
      <c r="L153" s="168"/>
      <c r="M153" s="168"/>
      <c r="N153" s="168"/>
    </row>
    <row r="154" spans="1:14">
      <c r="A154" s="4"/>
      <c r="D154" s="8"/>
      <c r="E154" s="8"/>
      <c r="F154" s="8"/>
      <c r="G154" s="8"/>
      <c r="H154" s="8"/>
      <c r="I154" s="8"/>
      <c r="K154" s="169"/>
      <c r="L154" s="169"/>
      <c r="M154" s="169"/>
      <c r="N154" s="169"/>
    </row>
    <row r="155" spans="1:14">
      <c r="A155" s="4" t="s">
        <v>1323</v>
      </c>
      <c r="D155" s="8"/>
      <c r="E155" s="8"/>
      <c r="F155" s="8"/>
      <c r="G155" s="8"/>
      <c r="H155" s="8"/>
      <c r="I155" s="8"/>
    </row>
    <row r="156" spans="1:14">
      <c r="A156" s="7" t="s">
        <v>7</v>
      </c>
      <c r="B156" s="6" t="b">
        <v>0</v>
      </c>
      <c r="D156" s="170" t="str">
        <f>IF(COUNTIF(B156:B157,TRUE)&gt;1,"Select only 1",IF(COUNTIF(B156:B157,FALSE)=2,"Please select either “Yes” or “No.” Only one option may be selected.",CONCATENATE('back-data'!B41," - (",'back-data'!C41,")")))</f>
        <v>Please select either “Yes” or “No.” Only one option may be selected.</v>
      </c>
      <c r="E156" s="171"/>
      <c r="F156" s="171"/>
      <c r="G156" s="171"/>
      <c r="H156" s="171"/>
      <c r="I156" s="172"/>
      <c r="K156" s="167" t="str">
        <f>IF(COUNTIF(B156:B157,TRUE),"",_xlfn._LONGTEXT("Note: Compressed gas cylinders contain compressed, liquefied or dissolved gases under pressure, as described in the DOSH Guidelines for Industrial Gas Cylinder 2021. Where applicable, ensure required registration or certification, inspection, safe handlin","g, storage, transport, maintenance and use by competent personnel to prevent leaks, explosions and pressure-related incidents."))</f>
        <v>Note: Compressed gas cylinders contain compressed, liquefied or dissolved gases under pressure, as described in the DOSH Guidelines for Industrial Gas Cylinder 2021. Where applicable, ensure required registration or certification, inspection, safe handling, storage, transport, maintenance and use by competent personnel to prevent leaks, explosions and pressure-related incidents.</v>
      </c>
      <c r="L156" s="167"/>
      <c r="M156" s="167"/>
      <c r="N156" s="167"/>
    </row>
    <row r="157" spans="1:14" ht="30" customHeight="1">
      <c r="A157" s="44" t="s">
        <v>8</v>
      </c>
      <c r="B157" s="43" t="b">
        <v>0</v>
      </c>
      <c r="D157" s="173"/>
      <c r="E157" s="174"/>
      <c r="F157" s="174"/>
      <c r="G157" s="174"/>
      <c r="H157" s="174"/>
      <c r="I157" s="175"/>
      <c r="K157" s="167"/>
      <c r="L157" s="167"/>
      <c r="M157" s="167"/>
      <c r="N157" s="167"/>
    </row>
    <row r="158" spans="1:14" ht="5" customHeight="1">
      <c r="A158" s="188" t="str">
        <f>IF('back-data'!$A$1=1,"Bahasa Malaysia:Penggunaan silinder gas termampat","")</f>
        <v>Bahasa Malaysia:Penggunaan silinder gas termampat</v>
      </c>
      <c r="B158" s="188"/>
      <c r="D158" s="45"/>
      <c r="E158" s="45"/>
      <c r="F158" s="45"/>
      <c r="G158" s="45"/>
      <c r="H158" s="45"/>
      <c r="I158" s="45"/>
      <c r="K158" s="168"/>
      <c r="L158" s="168"/>
      <c r="M158" s="168"/>
      <c r="N158" s="168"/>
    </row>
    <row r="159" spans="1:14" ht="31" customHeight="1">
      <c r="A159" s="189"/>
      <c r="B159" s="189"/>
      <c r="D159" s="176" t="s">
        <v>582</v>
      </c>
      <c r="E159" s="177"/>
      <c r="F159" s="177"/>
      <c r="G159" s="177"/>
      <c r="H159" s="177"/>
      <c r="I159" s="178"/>
      <c r="K159" s="168"/>
      <c r="L159" s="168"/>
      <c r="M159" s="168"/>
      <c r="N159" s="168"/>
    </row>
    <row r="160" spans="1:14">
      <c r="A160" s="4"/>
      <c r="D160" s="8"/>
      <c r="E160" s="8"/>
      <c r="F160" s="8"/>
      <c r="G160" s="8"/>
      <c r="H160" s="8"/>
      <c r="I160" s="8"/>
      <c r="K160" s="169"/>
      <c r="L160" s="169"/>
      <c r="M160" s="169"/>
      <c r="N160" s="169"/>
    </row>
    <row r="161" spans="1:14">
      <c r="A161" s="4"/>
      <c r="D161" s="8"/>
      <c r="E161" s="8"/>
      <c r="F161" s="8"/>
      <c r="G161" s="8"/>
      <c r="H161" s="8"/>
      <c r="I161" s="8"/>
    </row>
    <row r="162" spans="1:14">
      <c r="A162" s="4" t="s">
        <v>1324</v>
      </c>
      <c r="D162" s="8"/>
      <c r="E162" s="8"/>
      <c r="F162" s="8"/>
      <c r="G162" s="8"/>
      <c r="H162" s="8"/>
      <c r="I162" s="8"/>
    </row>
    <row r="163" spans="1:14">
      <c r="A163" s="7" t="s">
        <v>7</v>
      </c>
      <c r="B163" s="6" t="b">
        <v>0</v>
      </c>
      <c r="D163" s="170" t="str">
        <f>IF(COUNTIF(B163:B164,TRUE)&gt;1,"Select only 1",IF(COUNTIF(B163:B164,FALSE)=2,"Please select either “Yes” or “No.” Only one option may be selected.",CONCATENATE('back-data'!B42," - (",'back-data'!C42,")")))</f>
        <v>Please select either “Yes” or “No.” Only one option may be selected.</v>
      </c>
      <c r="E163" s="171"/>
      <c r="F163" s="171"/>
      <c r="G163" s="171"/>
      <c r="H163" s="171"/>
      <c r="I163" s="172"/>
      <c r="K163" s="167" t="str">
        <f>IF(COUNTIF(B163:B164,TRUE),"",_xlfn._LONGTEXT("Note: This question is used to identify whether diesel, fuel or petroleum products are stored at the workplace. Where applicable, the organisation shall comply with specific legal requirements and authority controls, including licensing, permits or approv","als where required, safe storage, fire prevention, spill control, emergency preparedness and proper handling to prevent safety, health and environmental risks."))</f>
        <v>Note: This question is used to identify whether diesel, fuel or petroleum products are stored at the workplace. Where applicable, the organisation shall comply with specific legal requirements and authority controls, including licensing, permits or approvals where required, safe storage, fire prevention, spill control, emergency preparedness and proper handling to prevent safety, health and environmental risks.</v>
      </c>
      <c r="L163" s="167"/>
      <c r="M163" s="167"/>
      <c r="N163" s="167"/>
    </row>
    <row r="164" spans="1:14" ht="30" customHeight="1">
      <c r="A164" s="44" t="s">
        <v>8</v>
      </c>
      <c r="B164" s="43" t="b">
        <v>0</v>
      </c>
      <c r="D164" s="173"/>
      <c r="E164" s="174"/>
      <c r="F164" s="174"/>
      <c r="G164" s="174"/>
      <c r="H164" s="174"/>
      <c r="I164" s="175"/>
      <c r="K164" s="167"/>
      <c r="L164" s="167"/>
      <c r="M164" s="167"/>
      <c r="N164" s="167"/>
    </row>
    <row r="165" spans="1:14" ht="5" customHeight="1">
      <c r="A165" s="188" t="str">
        <f>IF('back-data'!$A$1=1,"Bahasa Malaysia:Penyimpanan diesel, bahan bakar atau produk petroleum","")</f>
        <v>Bahasa Malaysia:Penyimpanan diesel, bahan bakar atau produk petroleum</v>
      </c>
      <c r="B165" s="188"/>
      <c r="D165" s="45"/>
      <c r="E165" s="45"/>
      <c r="F165" s="45"/>
      <c r="G165" s="45"/>
      <c r="H165" s="45"/>
      <c r="I165" s="45"/>
      <c r="K165" s="168"/>
      <c r="L165" s="168"/>
      <c r="M165" s="168"/>
      <c r="N165" s="168"/>
    </row>
    <row r="166" spans="1:14" ht="31" customHeight="1">
      <c r="A166" s="189"/>
      <c r="B166" s="189"/>
      <c r="D166" s="176" t="s">
        <v>582</v>
      </c>
      <c r="E166" s="177"/>
      <c r="F166" s="177"/>
      <c r="G166" s="177"/>
      <c r="H166" s="177"/>
      <c r="I166" s="178"/>
      <c r="K166" s="168"/>
      <c r="L166" s="168"/>
      <c r="M166" s="168"/>
      <c r="N166" s="168"/>
    </row>
    <row r="167" spans="1:14">
      <c r="A167" s="4"/>
      <c r="D167" s="8"/>
      <c r="E167" s="8"/>
      <c r="F167" s="8"/>
      <c r="G167" s="8"/>
      <c r="H167" s="8"/>
      <c r="I167" s="8"/>
    </row>
    <row r="168" spans="1:14">
      <c r="A168" s="4"/>
      <c r="D168" s="8"/>
      <c r="E168" s="8"/>
      <c r="F168" s="8"/>
      <c r="G168" s="8"/>
      <c r="H168" s="8"/>
      <c r="I168" s="8"/>
    </row>
    <row r="169" spans="1:14">
      <c r="D169" s="8"/>
      <c r="E169" s="8"/>
      <c r="F169" s="8"/>
      <c r="G169" s="8"/>
      <c r="H169" s="8"/>
      <c r="I169" s="8"/>
    </row>
    <row r="170" spans="1:14" ht="31">
      <c r="A170" s="1" t="s">
        <v>587</v>
      </c>
      <c r="D170" s="8"/>
      <c r="E170" s="8"/>
      <c r="F170" s="8"/>
      <c r="G170" s="8"/>
      <c r="H170" s="8"/>
      <c r="I170" s="8"/>
    </row>
    <row r="171" spans="1:14">
      <c r="A171" s="4"/>
      <c r="D171" s="8"/>
      <c r="E171" s="8"/>
      <c r="F171" s="8"/>
      <c r="G171" s="8"/>
      <c r="H171" s="8"/>
      <c r="I171" s="8"/>
    </row>
    <row r="172" spans="1:14">
      <c r="A172" s="4" t="s">
        <v>1325</v>
      </c>
      <c r="D172" s="8"/>
      <c r="E172" s="8"/>
      <c r="F172" s="8"/>
      <c r="G172" s="8"/>
      <c r="H172" s="8"/>
      <c r="I172" s="8"/>
    </row>
    <row r="173" spans="1:14">
      <c r="A173" s="7" t="s">
        <v>7</v>
      </c>
      <c r="B173" s="6" t="b">
        <v>0</v>
      </c>
      <c r="D173" s="170" t="str">
        <f>IF(COUNTIF(B173:B174,TRUE)&gt;1,"Select only 1",IF(COUNTIF(B173:B174,FALSE)=2,"Please select either “Yes” or “No.” Only one option may be selected.",CONCATENATE('back-data'!B43," - (",'back-data'!C43,")")))</f>
        <v>Please select either “Yes” or “No.” Only one option may be selected.</v>
      </c>
      <c r="E173" s="171"/>
      <c r="F173" s="171"/>
      <c r="G173" s="171"/>
      <c r="H173" s="171"/>
      <c r="I173" s="172"/>
      <c r="K173" s="167" t="str">
        <f>IF(COUNTIF(B173:B174,TRUE),"",_xlfn._LONGTEXT("Note: Air emissions include pollutants released from chimneys, stacks, vents, generator exhausts, boilers or other emission points regulated under the Environmental Quality (Clean Air) Regulations 2014. Where applicable, ensure emission control, monitorin","g, maintenance, required notification or approval, and pollution prevention measures."))</f>
        <v>Note: Air emissions include pollutants released from chimneys, stacks, vents, generator exhausts, boilers or other emission points regulated under the Environmental Quality (Clean Air) Regulations 2014. Where applicable, ensure emission control, monitoring, maintenance, required notification or approval, and pollution prevention measures.</v>
      </c>
      <c r="L173" s="167"/>
      <c r="M173" s="167"/>
      <c r="N173" s="167"/>
    </row>
    <row r="174" spans="1:14" ht="30" customHeight="1">
      <c r="A174" s="44" t="s">
        <v>8</v>
      </c>
      <c r="B174" s="43" t="b">
        <v>0</v>
      </c>
      <c r="D174" s="173"/>
      <c r="E174" s="174"/>
      <c r="F174" s="174"/>
      <c r="G174" s="174"/>
      <c r="H174" s="174"/>
      <c r="I174" s="175"/>
      <c r="K174" s="167"/>
      <c r="L174" s="167"/>
      <c r="M174" s="167"/>
      <c r="N174" s="167"/>
    </row>
    <row r="175" spans="1:14" ht="5" customHeight="1">
      <c r="A175" s="188" t="str">
        <f>IF('back-data'!$A$1=1,"Bahasa Malaysia:Penjanaan pelepasan udara (cerobong, serombong atau ekzos penjana)","")</f>
        <v>Bahasa Malaysia:Penjanaan pelepasan udara (cerobong, serombong atau ekzos penjana)</v>
      </c>
      <c r="B175" s="188"/>
      <c r="D175" s="45"/>
      <c r="E175" s="45"/>
      <c r="F175" s="45"/>
      <c r="G175" s="45"/>
      <c r="H175" s="45"/>
      <c r="I175" s="45"/>
      <c r="K175" s="168"/>
      <c r="L175" s="168"/>
      <c r="M175" s="168"/>
      <c r="N175" s="168"/>
    </row>
    <row r="176" spans="1:14" ht="31" customHeight="1">
      <c r="A176" s="189"/>
      <c r="B176" s="189"/>
      <c r="D176" s="176" t="s">
        <v>582</v>
      </c>
      <c r="E176" s="177"/>
      <c r="F176" s="177"/>
      <c r="G176" s="177"/>
      <c r="H176" s="177"/>
      <c r="I176" s="178"/>
      <c r="K176" s="168"/>
      <c r="L176" s="168"/>
      <c r="M176" s="168"/>
      <c r="N176" s="168"/>
    </row>
    <row r="177" spans="1:14">
      <c r="A177" s="4"/>
      <c r="D177" s="8"/>
      <c r="E177" s="8"/>
      <c r="F177" s="8"/>
      <c r="G177" s="8"/>
      <c r="H177" s="8"/>
      <c r="I177" s="8"/>
    </row>
    <row r="178" spans="1:14">
      <c r="A178" s="4" t="s">
        <v>1326</v>
      </c>
      <c r="D178" s="8"/>
      <c r="E178" s="8"/>
      <c r="F178" s="8"/>
      <c r="G178" s="8"/>
      <c r="H178" s="8"/>
      <c r="I178" s="8"/>
    </row>
    <row r="179" spans="1:14">
      <c r="A179" s="7" t="s">
        <v>7</v>
      </c>
      <c r="B179" s="6" t="b">
        <v>0</v>
      </c>
      <c r="D179" s="170" t="str">
        <f>IF(COUNTIF(B179:B180,TRUE)&gt;1,"Select only 1",IF(COUNTIF(B179:B180,FALSE)=2,"Please select either “Yes” or “No.” Only one option may be selected.",CONCATENATE('back-data'!B44," - (",'back-data'!C44,")")))</f>
        <v>Please select either “Yes” or “No.” Only one option may be selected.</v>
      </c>
      <c r="E179" s="171"/>
      <c r="F179" s="171"/>
      <c r="G179" s="171"/>
      <c r="H179" s="171"/>
      <c r="I179" s="172"/>
      <c r="K179" s="167" t="str">
        <f>IF(COUNTIF(B179:B180,TRUE),"",_xlfn._LONGTEXT("Note: Industrial effluent or wastewater is liquid waste from industrial processes regulated under the Environmental Quality (Industrial Effluent) Regulations 2009. Where discharged, including through an IETP, it shall be properly treated, monitored and ma","intained within prescribed discharge limits."))</f>
        <v>Note: Industrial effluent or wastewater is liquid waste from industrial processes regulated under the Environmental Quality (Industrial Effluent) Regulations 2009. Where discharged, including through an IETP, it shall be properly treated, monitored and maintained within prescribed discharge limits.</v>
      </c>
      <c r="L179" s="167"/>
      <c r="M179" s="167"/>
      <c r="N179" s="167"/>
    </row>
    <row r="180" spans="1:14" ht="30" customHeight="1">
      <c r="A180" s="44" t="s">
        <v>8</v>
      </c>
      <c r="B180" s="43" t="b">
        <v>0</v>
      </c>
      <c r="D180" s="173"/>
      <c r="E180" s="174"/>
      <c r="F180" s="174"/>
      <c r="G180" s="174"/>
      <c r="H180" s="174"/>
      <c r="I180" s="175"/>
      <c r="K180" s="167"/>
      <c r="L180" s="167"/>
      <c r="M180" s="167"/>
      <c r="N180" s="167"/>
    </row>
    <row r="181" spans="1:14" ht="5" customHeight="1">
      <c r="A181" s="188" t="str">
        <f>IF('back-data'!$A$1=1,"Bahasa Malaysia:Pelepasan air sisa atau efluen industri","")</f>
        <v>Bahasa Malaysia:Pelepasan air sisa atau efluen industri</v>
      </c>
      <c r="B181" s="188"/>
      <c r="D181" s="45"/>
      <c r="E181" s="45"/>
      <c r="F181" s="45"/>
      <c r="G181" s="45"/>
      <c r="H181" s="45"/>
      <c r="I181" s="45"/>
      <c r="K181" s="168"/>
      <c r="L181" s="168"/>
      <c r="M181" s="168"/>
      <c r="N181" s="168"/>
    </row>
    <row r="182" spans="1:14" ht="31" customHeight="1">
      <c r="A182" s="189"/>
      <c r="B182" s="189"/>
      <c r="D182" s="176" t="s">
        <v>582</v>
      </c>
      <c r="E182" s="177"/>
      <c r="F182" s="177"/>
      <c r="G182" s="177"/>
      <c r="H182" s="177"/>
      <c r="I182" s="178"/>
      <c r="K182" s="168"/>
      <c r="L182" s="168"/>
      <c r="M182" s="168"/>
      <c r="N182" s="168"/>
    </row>
    <row r="183" spans="1:14">
      <c r="A183" s="4"/>
      <c r="D183" s="8"/>
      <c r="E183" s="8"/>
      <c r="F183" s="8"/>
      <c r="G183" s="8"/>
      <c r="H183" s="8"/>
      <c r="I183" s="8"/>
    </row>
    <row r="184" spans="1:14">
      <c r="A184" s="4" t="s">
        <v>1327</v>
      </c>
      <c r="D184" s="8"/>
      <c r="E184" s="8"/>
      <c r="F184" s="8"/>
      <c r="G184" s="8"/>
      <c r="H184" s="8"/>
      <c r="I184" s="8"/>
    </row>
    <row r="185" spans="1:14">
      <c r="A185" s="7" t="s">
        <v>7</v>
      </c>
      <c r="B185" s="6" t="b">
        <v>0</v>
      </c>
      <c r="D185" s="170" t="str">
        <f>IF(COUNTIF(B185:B186,TRUE)&gt;1,"Select only 1",IF(COUNTIF(B185:B186,FALSE)=2,"Please select either “Yes” or “No.” Only one option may be selected.",CONCATENATE('back-data'!B45," - (",'back-data'!C45,")")))</f>
        <v>Please select either “Yes” or “No.” Only one option may be selected.</v>
      </c>
      <c r="E185" s="171"/>
      <c r="F185" s="171"/>
      <c r="G185" s="171"/>
      <c r="H185" s="171"/>
      <c r="I185" s="172"/>
      <c r="K185" s="167" t="str">
        <f>IF(COUNTIF(B185:B186,TRUE),"",_xlfn._LONGTEXT("Note: A sewage treatment plant receives, treats and disposes of sewage under the Water Services Industry Act 2006. Where operated, comply with the Environmental Quality (Sewage) Regulations 2009 and SPAN requirements for operation, maintenance, monitoring",", desludging, discharge control and record keeping."))</f>
        <v>Note: A sewage treatment plant receives, treats and disposes of sewage under the Water Services Industry Act 2006. Where operated, comply with the Environmental Quality (Sewage) Regulations 2009 and SPAN requirements for operation, maintenance, monitoring, desludging, discharge control and record keeping.</v>
      </c>
      <c r="L185" s="167"/>
      <c r="M185" s="167"/>
      <c r="N185" s="167"/>
    </row>
    <row r="186" spans="1:14" ht="30" customHeight="1">
      <c r="A186" s="44" t="s">
        <v>8</v>
      </c>
      <c r="B186" s="43" t="b">
        <v>0</v>
      </c>
      <c r="D186" s="173"/>
      <c r="E186" s="174"/>
      <c r="F186" s="174"/>
      <c r="G186" s="174"/>
      <c r="H186" s="174"/>
      <c r="I186" s="175"/>
      <c r="K186" s="167"/>
      <c r="L186" s="167"/>
      <c r="M186" s="167"/>
      <c r="N186" s="167"/>
    </row>
    <row r="187" spans="1:14" ht="5" customHeight="1">
      <c r="A187" s="188" t="str">
        <f>IF('back-data'!$A$1=1,"Bahasa Malaysia:Pengoperasian loji rawatan kumbahan","")</f>
        <v>Bahasa Malaysia:Pengoperasian loji rawatan kumbahan</v>
      </c>
      <c r="B187" s="188"/>
      <c r="D187" s="45"/>
      <c r="E187" s="45"/>
      <c r="F187" s="45"/>
      <c r="G187" s="45"/>
      <c r="H187" s="45"/>
      <c r="I187" s="45"/>
      <c r="K187" s="168"/>
      <c r="L187" s="168"/>
      <c r="M187" s="168"/>
      <c r="N187" s="168"/>
    </row>
    <row r="188" spans="1:14" ht="31" customHeight="1">
      <c r="A188" s="189"/>
      <c r="B188" s="189"/>
      <c r="D188" s="176" t="s">
        <v>582</v>
      </c>
      <c r="E188" s="177"/>
      <c r="F188" s="177"/>
      <c r="G188" s="177"/>
      <c r="H188" s="177"/>
      <c r="I188" s="178"/>
      <c r="K188" s="168"/>
      <c r="L188" s="168"/>
      <c r="M188" s="168"/>
      <c r="N188" s="168"/>
    </row>
    <row r="189" spans="1:14">
      <c r="A189" s="4"/>
      <c r="D189" s="8"/>
      <c r="E189" s="8"/>
      <c r="F189" s="8"/>
      <c r="G189" s="8"/>
      <c r="H189" s="8"/>
      <c r="I189" s="8"/>
    </row>
    <row r="190" spans="1:14">
      <c r="A190" s="4" t="s">
        <v>1328</v>
      </c>
      <c r="D190" s="8"/>
      <c r="E190" s="8"/>
      <c r="F190" s="8"/>
      <c r="G190" s="8"/>
      <c r="H190" s="8"/>
      <c r="I190" s="8"/>
    </row>
    <row r="191" spans="1:14">
      <c r="A191" s="7" t="s">
        <v>7</v>
      </c>
      <c r="B191" s="6" t="b">
        <v>0</v>
      </c>
      <c r="D191" s="170" t="str">
        <f>IF(COUNTIF(B191:B192,TRUE)&gt;1,"Select only 1",IF(COUNTIF(B191:B192,FALSE)=2,"Please select either “Yes” or “No.” Only one option may be selected.",CONCATENATE('back-data'!B46," - (",'back-data'!C46,")")))</f>
        <v>Please select either “Yes” or “No.” Only one option may be selected.</v>
      </c>
      <c r="E191" s="171"/>
      <c r="F191" s="171"/>
      <c r="G191" s="171"/>
      <c r="H191" s="171"/>
      <c r="I191" s="172"/>
      <c r="K191" s="167" t="str">
        <f>IF(COUNTIF(B191:B192,TRUE),"",_xlfn._LONGTEXT("Note: Scheduled waste is any waste listed in the First Schedule of the Environmental Quality (Scheduled Wastes) Regulations 2005. Where generated, it shall be properly identified, labelled, stored, handled, transported and disposed of in accordance with t","he regulations."))</f>
        <v>Note: Scheduled waste is any waste listed in the First Schedule of the Environmental Quality (Scheduled Wastes) Regulations 2005. Where generated, it shall be properly identified, labelled, stored, handled, transported and disposed of in accordance with the regulations.</v>
      </c>
      <c r="L191" s="167"/>
      <c r="M191" s="167"/>
      <c r="N191" s="167"/>
    </row>
    <row r="192" spans="1:14" ht="30" customHeight="1">
      <c r="A192" s="44" t="s">
        <v>8</v>
      </c>
      <c r="B192" s="43" t="b">
        <v>0</v>
      </c>
      <c r="D192" s="173"/>
      <c r="E192" s="174"/>
      <c r="F192" s="174"/>
      <c r="G192" s="174"/>
      <c r="H192" s="174"/>
      <c r="I192" s="175"/>
      <c r="K192" s="167"/>
      <c r="L192" s="167"/>
      <c r="M192" s="167"/>
      <c r="N192" s="167"/>
    </row>
    <row r="193" spans="1:14" ht="5" customHeight="1">
      <c r="A193" s="188" t="str">
        <f>IF('back-data'!$A$1=1,"Bahasa Malaysia:Penjanaan sisa terjadual di bawah peraturan Jabatan Alam Sekitar (JAS)","")</f>
        <v>Bahasa Malaysia:Penjanaan sisa terjadual di bawah peraturan Jabatan Alam Sekitar (JAS)</v>
      </c>
      <c r="B193" s="188"/>
      <c r="D193" s="45"/>
      <c r="E193" s="45"/>
      <c r="F193" s="45"/>
      <c r="G193" s="45"/>
      <c r="H193" s="45"/>
      <c r="I193" s="45"/>
      <c r="K193" s="168"/>
      <c r="L193" s="168"/>
      <c r="M193" s="168"/>
      <c r="N193" s="168"/>
    </row>
    <row r="194" spans="1:14" ht="31" customHeight="1">
      <c r="A194" s="189"/>
      <c r="B194" s="189"/>
      <c r="D194" s="176" t="s">
        <v>582</v>
      </c>
      <c r="E194" s="177"/>
      <c r="F194" s="177"/>
      <c r="G194" s="177"/>
      <c r="H194" s="177"/>
      <c r="I194" s="178"/>
      <c r="K194" s="168"/>
      <c r="L194" s="168"/>
      <c r="M194" s="168"/>
      <c r="N194" s="168"/>
    </row>
    <row r="195" spans="1:14">
      <c r="A195" s="4"/>
      <c r="D195" s="8"/>
      <c r="E195" s="8"/>
      <c r="F195" s="8"/>
      <c r="G195" s="8"/>
      <c r="H195" s="8"/>
      <c r="I195" s="8"/>
    </row>
    <row r="196" spans="1:14">
      <c r="A196" s="4" t="s">
        <v>1329</v>
      </c>
      <c r="D196" s="8"/>
      <c r="E196" s="8"/>
      <c r="F196" s="8"/>
      <c r="G196" s="8"/>
      <c r="H196" s="8"/>
      <c r="I196" s="8"/>
    </row>
    <row r="197" spans="1:14">
      <c r="A197" s="7" t="s">
        <v>7</v>
      </c>
      <c r="B197" s="6" t="b">
        <v>0</v>
      </c>
      <c r="D197" s="170" t="str">
        <f>IF(COUNTIF(B197:B198,TRUE)&gt;1,"Select only 1",IF(COUNTIF(B197:B198,FALSE)=2,"Please select either “Yes” or “No.” Only one option may be selected.",CONCATENATE('back-data'!B47," - (",'back-data'!C47,")")))</f>
        <v>Please select either “Yes” or “No.” Only one option may be selected.</v>
      </c>
      <c r="E197" s="171"/>
      <c r="F197" s="171"/>
      <c r="G197" s="171"/>
      <c r="H197" s="171"/>
      <c r="I197" s="172"/>
      <c r="K197" s="167" t="str">
        <f>IF(COUNTIF(B197:B198,TRUE),"",_xlfn._LONGTEXT("Note: Machinery includes plant, equipment, appliances and tools under the Occupational Safety and Health Act 1994. Where excessive noise is generated, comply with the Noise Exposure Regulations 2019 through risk assessment, monitoring, controls, hearing p","rotection, audiometric testing, training and record keeping."))</f>
        <v>Note: Machinery includes plant, equipment, appliances and tools under the Occupational Safety and Health Act 1994. Where excessive noise is generated, comply with the Noise Exposure Regulations 2019 through risk assessment, monitoring, controls, hearing protection, audiometric testing, training and record keeping.</v>
      </c>
      <c r="L197" s="167"/>
      <c r="M197" s="167"/>
      <c r="N197" s="167"/>
    </row>
    <row r="198" spans="1:14" ht="30" customHeight="1">
      <c r="A198" s="44" t="s">
        <v>8</v>
      </c>
      <c r="B198" s="43" t="b">
        <v>0</v>
      </c>
      <c r="D198" s="173"/>
      <c r="E198" s="174"/>
      <c r="F198" s="174"/>
      <c r="G198" s="174"/>
      <c r="H198" s="174"/>
      <c r="I198" s="175"/>
      <c r="K198" s="167"/>
      <c r="L198" s="167"/>
      <c r="M198" s="167"/>
      <c r="N198" s="167"/>
    </row>
    <row r="199" spans="1:14" ht="5" customHeight="1">
      <c r="A199" s="188" t="str">
        <f>IF('back-data'!$A$1=1,"Bahasa Malaysia:Penjanaan bunyi bising daripada mesin atau proses kerja","")</f>
        <v>Bahasa Malaysia:Penjanaan bunyi bising daripada mesin atau proses kerja</v>
      </c>
      <c r="B199" s="188"/>
      <c r="D199" s="45"/>
      <c r="E199" s="45"/>
      <c r="F199" s="45"/>
      <c r="G199" s="45"/>
      <c r="H199" s="45"/>
      <c r="I199" s="45"/>
      <c r="K199" s="168"/>
      <c r="L199" s="168"/>
      <c r="M199" s="168"/>
      <c r="N199" s="168"/>
    </row>
    <row r="200" spans="1:14" ht="31" customHeight="1">
      <c r="A200" s="189"/>
      <c r="B200" s="189"/>
      <c r="D200" s="176" t="s">
        <v>582</v>
      </c>
      <c r="E200" s="177"/>
      <c r="F200" s="177"/>
      <c r="G200" s="177"/>
      <c r="H200" s="177"/>
      <c r="I200" s="178"/>
      <c r="K200" s="168"/>
      <c r="L200" s="168"/>
      <c r="M200" s="168"/>
      <c r="N200" s="168"/>
    </row>
    <row r="201" spans="1:14">
      <c r="A201" s="4"/>
      <c r="D201" s="8"/>
      <c r="E201" s="8"/>
      <c r="F201" s="8"/>
      <c r="G201" s="8"/>
      <c r="H201" s="8"/>
      <c r="I201" s="8"/>
    </row>
    <row r="202" spans="1:14">
      <c r="A202" s="4" t="s">
        <v>1330</v>
      </c>
      <c r="D202" s="8"/>
      <c r="E202" s="8"/>
      <c r="F202" s="8"/>
      <c r="G202" s="8"/>
      <c r="H202" s="8"/>
      <c r="I202" s="8"/>
    </row>
    <row r="203" spans="1:14">
      <c r="A203" s="7" t="s">
        <v>7</v>
      </c>
      <c r="B203" s="6" t="b">
        <v>0</v>
      </c>
      <c r="D203" s="170" t="str">
        <f>IF(COUNTIF(B203:B204,TRUE)&gt;1,"Select only 1",IF(COUNTIF(B203:B204,FALSE)=2,"Please select either “Yes” or “No.” Only one option may be selected.",CONCATENATE('back-data'!B48," - (",'back-data'!C48,")")))</f>
        <v>Please select either “Yes” or “No.” Only one option may be selected.</v>
      </c>
      <c r="E203" s="171"/>
      <c r="F203" s="171"/>
      <c r="G203" s="171"/>
      <c r="H203" s="171"/>
      <c r="I203" s="172"/>
      <c r="K203" s="167" t="str">
        <f>IF(COUNTIF(B203:B204,TRUE),"",_xlfn._LONGTEXT("Note: Environmentally hazardous substances are chemicals classified as hazardous to the aquatic environment under the CLASS Regulations 2013. Where stored, ensure proper labelling, containment, safe handling, spill prevention, emergency response and pollu","tion controls."))</f>
        <v>Note: Environmentally hazardous substances are chemicals classified as hazardous to the aquatic environment under the CLASS Regulations 2013. Where stored, ensure proper labelling, containment, safe handling, spill prevention, emergency response and pollution controls.</v>
      </c>
      <c r="L203" s="167"/>
      <c r="M203" s="167"/>
      <c r="N203" s="167"/>
    </row>
    <row r="204" spans="1:14" ht="30" customHeight="1">
      <c r="A204" s="44" t="s">
        <v>8</v>
      </c>
      <c r="B204" s="43" t="b">
        <v>0</v>
      </c>
      <c r="D204" s="173"/>
      <c r="E204" s="174"/>
      <c r="F204" s="174"/>
      <c r="G204" s="174"/>
      <c r="H204" s="174"/>
      <c r="I204" s="175"/>
      <c r="K204" s="167"/>
      <c r="L204" s="167"/>
      <c r="M204" s="167"/>
      <c r="N204" s="167"/>
    </row>
    <row r="205" spans="1:14" ht="5" customHeight="1">
      <c r="A205" s="188" t="str">
        <f>IF('back-data'!$A$1=1,"Bahasa Malaysia:Penyimpanan bahan berbahaya kepada alam sekitar","")</f>
        <v>Bahasa Malaysia:Penyimpanan bahan berbahaya kepada alam sekitar</v>
      </c>
      <c r="B205" s="188"/>
      <c r="D205" s="45"/>
      <c r="E205" s="45"/>
      <c r="F205" s="45"/>
      <c r="G205" s="45"/>
      <c r="H205" s="45"/>
      <c r="I205" s="45"/>
      <c r="K205" s="168"/>
      <c r="L205" s="168"/>
      <c r="M205" s="168"/>
      <c r="N205" s="168"/>
    </row>
    <row r="206" spans="1:14" ht="31" customHeight="1">
      <c r="A206" s="189"/>
      <c r="B206" s="189"/>
      <c r="D206" s="176" t="s">
        <v>582</v>
      </c>
      <c r="E206" s="177"/>
      <c r="F206" s="177"/>
      <c r="G206" s="177"/>
      <c r="H206" s="177"/>
      <c r="I206" s="178"/>
      <c r="K206" s="168"/>
      <c r="L206" s="168"/>
      <c r="M206" s="168"/>
      <c r="N206" s="168"/>
    </row>
    <row r="207" spans="1:14">
      <c r="A207" s="4"/>
      <c r="D207" s="8"/>
      <c r="E207" s="8"/>
      <c r="F207" s="8"/>
      <c r="G207" s="8"/>
      <c r="H207" s="8"/>
      <c r="I207" s="8"/>
    </row>
    <row r="208" spans="1:14">
      <c r="A208" s="4" t="s">
        <v>1331</v>
      </c>
      <c r="D208" s="8"/>
      <c r="E208" s="8"/>
      <c r="F208" s="8"/>
      <c r="G208" s="8"/>
      <c r="H208" s="8"/>
      <c r="I208" s="8"/>
    </row>
    <row r="209" spans="1:14">
      <c r="A209" s="7" t="s">
        <v>7</v>
      </c>
      <c r="B209" s="6" t="b">
        <v>0</v>
      </c>
      <c r="D209" s="170" t="str">
        <f>IF(COUNTIF(B209:B210,TRUE)&gt;1,"Select only 1",IF(COUNTIF(B209:B210,FALSE)=2,"Please select either “Yes” or “No.” Only one option may be selected.",CONCATENATE('back-data'!B49," - (",'back-data'!C49,")")))</f>
        <v>Please select either “Yes” or “No.” Only one option may be selected.</v>
      </c>
      <c r="E209" s="171"/>
      <c r="F209" s="171"/>
      <c r="G209" s="171"/>
      <c r="H209" s="171"/>
      <c r="I209" s="172"/>
      <c r="K209" s="167" t="str">
        <f>IF(COUNTIF(B209:B210,TRUE),"","Note: Cooling towers and water systems may promote Legionella growth if poorly managed. Where operated, ensure water quality monitoring, inspection, cleaning, disinfection, preventive maintenance and appropriate controls to protect workers and the public.")</f>
        <v>Note: Cooling towers and water systems may promote Legionella growth if poorly managed. Where operated, ensure water quality monitoring, inspection, cleaning, disinfection, preventive maintenance and appropriate controls to protect workers and the public.</v>
      </c>
      <c r="L209" s="167"/>
      <c r="M209" s="167"/>
      <c r="N209" s="167"/>
    </row>
    <row r="210" spans="1:14" ht="30" customHeight="1">
      <c r="A210" s="44" t="s">
        <v>8</v>
      </c>
      <c r="B210" s="43" t="b">
        <v>0</v>
      </c>
      <c r="D210" s="173"/>
      <c r="E210" s="174"/>
      <c r="F210" s="174"/>
      <c r="G210" s="174"/>
      <c r="H210" s="174"/>
      <c r="I210" s="175"/>
      <c r="K210" s="167"/>
      <c r="L210" s="167"/>
      <c r="M210" s="167"/>
      <c r="N210" s="167"/>
    </row>
    <row r="211" spans="1:14" ht="5" customHeight="1">
      <c r="A211" s="188" t="str">
        <f>IF('back-data'!$A$1=1,"Bahasa Malaysia:Penggunaan menara penyejuk (cooling tower) atau sistem air","")</f>
        <v>Bahasa Malaysia:Penggunaan menara penyejuk (cooling tower) atau sistem air</v>
      </c>
      <c r="B211" s="188"/>
      <c r="D211" s="45"/>
      <c r="E211" s="45"/>
      <c r="F211" s="45"/>
      <c r="G211" s="45"/>
      <c r="H211" s="45"/>
      <c r="I211" s="45"/>
      <c r="K211" s="168"/>
      <c r="L211" s="168"/>
      <c r="M211" s="168"/>
      <c r="N211" s="168"/>
    </row>
    <row r="212" spans="1:14" ht="31" customHeight="1">
      <c r="A212" s="189"/>
      <c r="B212" s="189"/>
      <c r="D212" s="176" t="s">
        <v>582</v>
      </c>
      <c r="E212" s="177"/>
      <c r="F212" s="177"/>
      <c r="G212" s="177"/>
      <c r="H212" s="177"/>
      <c r="I212" s="178"/>
      <c r="K212" s="168"/>
      <c r="L212" s="168"/>
      <c r="M212" s="168"/>
      <c r="N212" s="168"/>
    </row>
    <row r="213" spans="1:14">
      <c r="A213" s="4"/>
      <c r="D213" s="8"/>
      <c r="E213" s="8"/>
      <c r="F213" s="8"/>
      <c r="G213" s="8"/>
      <c r="H213" s="8"/>
      <c r="I213" s="8"/>
    </row>
    <row r="214" spans="1:14">
      <c r="D214" s="8"/>
      <c r="E214" s="8"/>
      <c r="F214" s="8"/>
      <c r="G214" s="8"/>
      <c r="H214" s="8"/>
      <c r="I214" s="8"/>
    </row>
    <row r="215" spans="1:14" ht="31">
      <c r="A215" s="1" t="s">
        <v>588</v>
      </c>
      <c r="D215" s="8"/>
      <c r="E215" s="8"/>
      <c r="F215" s="8"/>
      <c r="G215" s="8"/>
      <c r="H215" s="8"/>
      <c r="I215" s="8"/>
    </row>
    <row r="216" spans="1:14">
      <c r="A216" s="4"/>
      <c r="D216" s="8"/>
      <c r="E216" s="8"/>
      <c r="F216" s="8"/>
      <c r="G216" s="8"/>
      <c r="H216" s="8"/>
      <c r="I216" s="8"/>
    </row>
    <row r="217" spans="1:14">
      <c r="A217" s="4" t="s">
        <v>1332</v>
      </c>
      <c r="D217" s="8"/>
      <c r="E217" s="8"/>
      <c r="F217" s="8"/>
      <c r="G217" s="8"/>
      <c r="H217" s="8"/>
      <c r="I217" s="8"/>
    </row>
    <row r="218" spans="1:14">
      <c r="A218" s="7" t="s">
        <v>7</v>
      </c>
      <c r="B218" s="6" t="b">
        <v>0</v>
      </c>
      <c r="D218" s="170" t="str">
        <f>IF(COUNTIF(B218:B219,TRUE)&gt;1,"Select only 1",IF(COUNTIF(B218:B219,FALSE)=2,"Please select either “Yes” or “No.” Only one option may be selected.",CONCATENATE('back-data'!B50," - (",'back-data'!C50,")")))</f>
        <v>Please select either “Yes” or “No.” Only one option may be selected.</v>
      </c>
      <c r="E218" s="171"/>
      <c r="F218" s="171"/>
      <c r="G218" s="171"/>
      <c r="H218" s="171"/>
      <c r="I218" s="172"/>
      <c r="K218" s="167" t="str">
        <f>IF(COUNTIF(B218:B219,TRUE),"",_xlfn._LONGTEXT("Note: dB(A) is the A-weighted measure of occupational noise exposure under the Noise Exposure Regulations 2019. Where workers may be exposed above 85 dB(A), ensure noise assessment, monitoring, controls, hearing protection, audiometric testing, training, ","signage and record keeping."))</f>
        <v>Note: dB(A) is the A-weighted measure of occupational noise exposure under the Noise Exposure Regulations 2019. Where workers may be exposed above 85 dB(A), ensure noise assessment, monitoring, controls, hearing protection, audiometric testing, training, signage and record keeping.</v>
      </c>
      <c r="L218" s="167"/>
      <c r="M218" s="167"/>
      <c r="N218" s="167"/>
    </row>
    <row r="219" spans="1:14" ht="30" customHeight="1">
      <c r="A219" s="44" t="s">
        <v>8</v>
      </c>
      <c r="B219" s="43" t="b">
        <v>0</v>
      </c>
      <c r="D219" s="173"/>
      <c r="E219" s="174"/>
      <c r="F219" s="174"/>
      <c r="G219" s="174"/>
      <c r="H219" s="174"/>
      <c r="I219" s="175"/>
      <c r="K219" s="167"/>
      <c r="L219" s="167"/>
      <c r="M219" s="167"/>
      <c r="N219" s="167"/>
    </row>
    <row r="220" spans="1:14" ht="5" customHeight="1">
      <c r="A220" s="188" t="str">
        <f>IF('back-data'!$A$1=1,"Bahasa Malaysia:Pekerja terdedah kepada bunyi bising melebihi 85 dB(A)","")</f>
        <v>Bahasa Malaysia:Pekerja terdedah kepada bunyi bising melebihi 85 dB(A)</v>
      </c>
      <c r="B220" s="188"/>
      <c r="D220" s="45"/>
      <c r="E220" s="45"/>
      <c r="F220" s="45"/>
      <c r="G220" s="45"/>
      <c r="H220" s="45"/>
      <c r="I220" s="45"/>
      <c r="K220" s="168"/>
      <c r="L220" s="168"/>
      <c r="M220" s="168"/>
      <c r="N220" s="168"/>
    </row>
    <row r="221" spans="1:14" ht="31" customHeight="1">
      <c r="A221" s="189"/>
      <c r="B221" s="189"/>
      <c r="D221" s="176" t="s">
        <v>582</v>
      </c>
      <c r="E221" s="177"/>
      <c r="F221" s="177"/>
      <c r="G221" s="177"/>
      <c r="H221" s="177"/>
      <c r="I221" s="178"/>
      <c r="K221" s="168"/>
      <c r="L221" s="168"/>
      <c r="M221" s="168"/>
      <c r="N221" s="168"/>
    </row>
    <row r="222" spans="1:14">
      <c r="A222" s="4"/>
      <c r="D222" s="8"/>
      <c r="E222" s="8"/>
      <c r="F222" s="8"/>
      <c r="G222" s="8"/>
      <c r="H222" s="8"/>
      <c r="I222" s="8"/>
    </row>
    <row r="223" spans="1:14">
      <c r="A223" s="4" t="s">
        <v>1333</v>
      </c>
      <c r="D223" s="8"/>
      <c r="E223" s="8"/>
      <c r="F223" s="8"/>
      <c r="G223" s="8"/>
      <c r="H223" s="8"/>
      <c r="I223" s="8"/>
    </row>
    <row r="224" spans="1:14">
      <c r="A224" s="7" t="s">
        <v>7</v>
      </c>
      <c r="B224" s="6" t="b">
        <v>0</v>
      </c>
      <c r="D224" s="170" t="str">
        <f>IF(COUNTIF(B224:B225,TRUE)&gt;1,"Select only 1",IF(COUNTIF(B224:B225,FALSE)=2,"Please select either “Yes” or “No.” Only one option may be selected.",CONCATENATE('back-data'!B51," - (",'back-data'!C51,")")))</f>
        <v>Please select either “Yes” or “No.” Only one option may be selected.</v>
      </c>
      <c r="E224" s="171"/>
      <c r="F224" s="171"/>
      <c r="G224" s="171"/>
      <c r="H224" s="171"/>
      <c r="I224" s="172"/>
      <c r="K224" s="167" t="str">
        <f>IF(COUNTIF(B224:B225,TRUE),"",_xlfn._LONGTEXT("Note: Vapour, dust &amp; fumes refer to chemicals hazardous to health that may pose risks to workers through their properties or use, as defined under the USECHH Regulations 2000. This question helps determine whether workers are exposed to chemical vapours, ","dust or fumes. Where applicable, appropriate exposure control measures and occupational safety and health requirements shall be implemented to prevent occupational illness."))</f>
        <v>Note: Vapour, dust &amp; fumes refer to chemicals hazardous to health that may pose risks to workers through their properties or use, as defined under the USECHH Regulations 2000. This question helps determine whether workers are exposed to chemical vapours, dust or fumes. Where applicable, appropriate exposure control measures and occupational safety and health requirements shall be implemented to prevent occupational illness.</v>
      </c>
      <c r="L224" s="167"/>
      <c r="M224" s="167"/>
      <c r="N224" s="167"/>
    </row>
    <row r="225" spans="1:14" ht="30" customHeight="1">
      <c r="A225" s="44" t="s">
        <v>8</v>
      </c>
      <c r="B225" s="43" t="b">
        <v>0</v>
      </c>
      <c r="D225" s="173"/>
      <c r="E225" s="174"/>
      <c r="F225" s="174"/>
      <c r="G225" s="174"/>
      <c r="H225" s="174"/>
      <c r="I225" s="175"/>
      <c r="K225" s="167"/>
      <c r="L225" s="167"/>
      <c r="M225" s="167"/>
      <c r="N225" s="167"/>
    </row>
    <row r="226" spans="1:14" ht="5" customHeight="1">
      <c r="A226" s="188" t="str">
        <f>IF('back-data'!$A$1=1,"Bahasa Malaysia:Pekerja terdedah kepada wap kimia, habuk atau wasap","")</f>
        <v>Bahasa Malaysia:Pekerja terdedah kepada wap kimia, habuk atau wasap</v>
      </c>
      <c r="B226" s="188"/>
      <c r="D226" s="45"/>
      <c r="E226" s="45"/>
      <c r="F226" s="45"/>
      <c r="G226" s="45"/>
      <c r="H226" s="45"/>
      <c r="I226" s="45"/>
      <c r="K226" s="168"/>
      <c r="L226" s="168"/>
      <c r="M226" s="168"/>
      <c r="N226" s="168"/>
    </row>
    <row r="227" spans="1:14" ht="31" customHeight="1">
      <c r="A227" s="189"/>
      <c r="B227" s="189"/>
      <c r="D227" s="176" t="s">
        <v>582</v>
      </c>
      <c r="E227" s="177"/>
      <c r="F227" s="177"/>
      <c r="G227" s="177"/>
      <c r="H227" s="177"/>
      <c r="I227" s="178"/>
      <c r="K227" s="168"/>
      <c r="L227" s="168"/>
      <c r="M227" s="168"/>
      <c r="N227" s="168"/>
    </row>
    <row r="228" spans="1:14">
      <c r="A228" s="4"/>
      <c r="D228" s="8"/>
      <c r="E228" s="8"/>
      <c r="F228" s="8"/>
      <c r="G228" s="8"/>
      <c r="H228" s="8"/>
      <c r="I228" s="8"/>
    </row>
    <row r="229" spans="1:14">
      <c r="A229" s="4" t="s">
        <v>1334</v>
      </c>
      <c r="D229" s="8"/>
      <c r="E229" s="8"/>
      <c r="F229" s="8"/>
      <c r="G229" s="8"/>
      <c r="H229" s="8"/>
      <c r="I229" s="8"/>
    </row>
    <row r="230" spans="1:14">
      <c r="A230" s="7" t="s">
        <v>7</v>
      </c>
      <c r="B230" s="6" t="b">
        <v>0</v>
      </c>
      <c r="D230" s="170" t="str">
        <f>IF(COUNTIF(B230:B231,TRUE)&gt;1,"Select only 1",IF(COUNTIF(B230:B231,FALSE)=2,"Please select either “Yes” or “No.” Only one option may be selected.",CONCATENATE('back-data'!B52," - (",'back-data'!C52,")")))</f>
        <v>Please select either “Yes” or “No.” Only one option may be selected.</v>
      </c>
      <c r="E230" s="171"/>
      <c r="F230" s="171"/>
      <c r="G230" s="171"/>
      <c r="H230" s="171"/>
      <c r="I230" s="172"/>
      <c r="K230" s="167" t="str">
        <f>IF(COUNTIF(B230:B231,TRUE),"",_xlfn._LONGTEXT("Note: Heat stress occurs when the body cannot cool adequately due to heat, workload or clothing, as described in the DOSH Guidelines on Heat Stress Management at Workplace 2016. Where exposure may occur, implement risk assessment, work-rest schedules, hyd","ration, ventilation, acclimatisation, PPE, monitoring, training and emergency response."))</f>
        <v>Note: Heat stress occurs when the body cannot cool adequately due to heat, workload or clothing, as described in the DOSH Guidelines on Heat Stress Management at Workplace 2016. Where exposure may occur, implement risk assessment, work-rest schedules, hydration, ventilation, acclimatisation, PPE, monitoring, training and emergency response.</v>
      </c>
      <c r="L230" s="167"/>
      <c r="M230" s="167"/>
      <c r="N230" s="167"/>
    </row>
    <row r="231" spans="1:14" ht="30" customHeight="1">
      <c r="A231" s="44" t="s">
        <v>8</v>
      </c>
      <c r="B231" s="43" t="b">
        <v>0</v>
      </c>
      <c r="D231" s="173"/>
      <c r="E231" s="174"/>
      <c r="F231" s="174"/>
      <c r="G231" s="174"/>
      <c r="H231" s="174"/>
      <c r="I231" s="175"/>
      <c r="K231" s="167"/>
      <c r="L231" s="167"/>
      <c r="M231" s="167"/>
      <c r="N231" s="167"/>
    </row>
    <row r="232" spans="1:14" ht="5" customHeight="1">
      <c r="A232" s="188" t="str">
        <f>IF('back-data'!$A$1=1,"Bahasa Malaysia:Pekerja terdedah kepada tekanan haba","")</f>
        <v>Bahasa Malaysia:Pekerja terdedah kepada tekanan haba</v>
      </c>
      <c r="B232" s="188"/>
      <c r="D232" s="45"/>
      <c r="E232" s="45"/>
      <c r="F232" s="45"/>
      <c r="G232" s="45"/>
      <c r="H232" s="45"/>
      <c r="I232" s="45"/>
      <c r="K232" s="168"/>
      <c r="L232" s="168"/>
      <c r="M232" s="168"/>
      <c r="N232" s="168"/>
    </row>
    <row r="233" spans="1:14" ht="31" customHeight="1">
      <c r="A233" s="189"/>
      <c r="B233" s="189"/>
      <c r="D233" s="176" t="s">
        <v>582</v>
      </c>
      <c r="E233" s="177"/>
      <c r="F233" s="177"/>
      <c r="G233" s="177"/>
      <c r="H233" s="177"/>
      <c r="I233" s="178"/>
      <c r="K233" s="168"/>
      <c r="L233" s="168"/>
      <c r="M233" s="168"/>
      <c r="N233" s="168"/>
    </row>
    <row r="234" spans="1:14">
      <c r="A234" s="4"/>
      <c r="D234" s="8"/>
      <c r="E234" s="8"/>
      <c r="F234" s="8"/>
      <c r="G234" s="8"/>
      <c r="H234" s="8"/>
      <c r="I234" s="8"/>
      <c r="K234" s="169"/>
      <c r="L234" s="169"/>
      <c r="M234" s="169"/>
      <c r="N234" s="169"/>
    </row>
    <row r="235" spans="1:14">
      <c r="A235" s="4" t="s">
        <v>1335</v>
      </c>
      <c r="D235" s="8"/>
      <c r="E235" s="8"/>
      <c r="F235" s="8"/>
      <c r="G235" s="8"/>
      <c r="H235" s="8"/>
      <c r="I235" s="8"/>
    </row>
    <row r="236" spans="1:14">
      <c r="A236" s="7" t="s">
        <v>7</v>
      </c>
      <c r="B236" s="6" t="b">
        <v>0</v>
      </c>
      <c r="D236" s="170" t="str">
        <f>IF(COUNTIF(B236:B237,TRUE)&gt;1,"Select only 1",IF(COUNTIF(B236:B237,FALSE)=2,"Please select either “Yes” or “No.” Only one option may be selected.",CONCATENATE('back-data'!B53," - (",'back-data'!C53,")")))</f>
        <v>Please select either “Yes” or “No.” Only one option may be selected.</v>
      </c>
      <c r="E236" s="171"/>
      <c r="F236" s="171"/>
      <c r="G236" s="171"/>
      <c r="H236" s="171"/>
      <c r="I236" s="172"/>
      <c r="K236" s="167" t="str">
        <f>IF(COUNTIF(B236:B237,TRUE),"",_xlfn._LONGTEXT("Note: Indoor air quality affects occupants’ health, comfort and performance, as described in the DOSH Industry Code of Practice on Indoor Air Quality 2010. Where concerns exist, ensure ventilation inspection, system maintenance, cleaning, monitoring and c","orrective action."))</f>
        <v>Note: Indoor air quality affects occupants’ health, comfort and performance, as described in the DOSH Industry Code of Practice on Indoor Air Quality 2010. Where concerns exist, ensure ventilation inspection, system maintenance, cleaning, monitoring and corrective action.</v>
      </c>
      <c r="L236" s="167"/>
      <c r="M236" s="167"/>
      <c r="N236" s="167"/>
    </row>
    <row r="237" spans="1:14" ht="30" customHeight="1">
      <c r="A237" s="44" t="s">
        <v>8</v>
      </c>
      <c r="B237" s="43" t="b">
        <v>0</v>
      </c>
      <c r="D237" s="173"/>
      <c r="E237" s="174"/>
      <c r="F237" s="174"/>
      <c r="G237" s="174"/>
      <c r="H237" s="174"/>
      <c r="I237" s="175"/>
      <c r="K237" s="167"/>
      <c r="L237" s="167"/>
      <c r="M237" s="167"/>
      <c r="N237" s="167"/>
    </row>
    <row r="238" spans="1:14" ht="5" customHeight="1">
      <c r="A238" s="188" t="str">
        <f>IF('back-data'!$A$1=1,"Bahasa Malaysia:Isu kualiti udara dalaman (tempat kerja berhawa dingin)","")</f>
        <v>Bahasa Malaysia:Isu kualiti udara dalaman (tempat kerja berhawa dingin)</v>
      </c>
      <c r="B238" s="188"/>
      <c r="D238" s="45"/>
      <c r="E238" s="45"/>
      <c r="F238" s="45"/>
      <c r="G238" s="45"/>
      <c r="H238" s="45"/>
      <c r="I238" s="45"/>
      <c r="K238" s="168"/>
      <c r="L238" s="168"/>
      <c r="M238" s="168"/>
      <c r="N238" s="168"/>
    </row>
    <row r="239" spans="1:14" ht="31" customHeight="1">
      <c r="A239" s="189"/>
      <c r="B239" s="189"/>
      <c r="D239" s="176" t="s">
        <v>641</v>
      </c>
      <c r="E239" s="177"/>
      <c r="F239" s="177"/>
      <c r="G239" s="177"/>
      <c r="H239" s="177"/>
      <c r="I239" s="178"/>
      <c r="K239" s="168"/>
      <c r="L239" s="168"/>
      <c r="M239" s="168"/>
      <c r="N239" s="168"/>
    </row>
    <row r="240" spans="1:14">
      <c r="A240" s="4"/>
      <c r="D240" s="8"/>
      <c r="E240" s="8"/>
      <c r="F240" s="8"/>
      <c r="G240" s="8"/>
      <c r="H240" s="8"/>
      <c r="I240" s="8"/>
      <c r="K240" s="169"/>
      <c r="L240" s="169"/>
      <c r="M240" s="169"/>
      <c r="N240" s="169"/>
    </row>
    <row r="241" spans="1:15">
      <c r="A241" s="4" t="s">
        <v>1336</v>
      </c>
      <c r="D241" s="8"/>
      <c r="E241" s="8"/>
      <c r="F241" s="8"/>
      <c r="G241" s="8"/>
      <c r="H241" s="8"/>
      <c r="I241" s="8"/>
    </row>
    <row r="242" spans="1:15">
      <c r="A242" s="7" t="s">
        <v>7</v>
      </c>
      <c r="B242" s="6" t="b">
        <v>0</v>
      </c>
      <c r="D242" s="170" t="str">
        <f>IF(COUNTIF(B242:B243,TRUE)&gt;1,"Select only 1",IF(COUNTIF(B242:B243,FALSE)=2,"Please select either “Yes” or “No.” Only one option may be selected.",CONCATENATE('back-data'!B54," - (",'back-data'!C54,")")))</f>
        <v>Please select either “Yes” or “No.” Only one option may be selected.</v>
      </c>
      <c r="E242" s="171"/>
      <c r="F242" s="171"/>
      <c r="G242" s="171"/>
      <c r="H242" s="171"/>
      <c r="I242" s="172"/>
      <c r="K242" s="167" t="str">
        <f>IF(COUNTIF(B242:B243,TRUE),"",_xlfn._LONGTEXT("Note: Ergonomics involves fitting work to the worker to reduce fatigue and musculoskeletal risks, as described in the DOSH Guidelines on Ergonomics Risk Assessment at Workplace 2017. Where risks such as repetitive work, awkward posture, overreaching or fo","rceful exertion exist, appropriate assessment and controls shall be implemented."))</f>
        <v>Note: Ergonomics involves fitting work to the worker to reduce fatigue and musculoskeletal risks, as described in the DOSH Guidelines on Ergonomics Risk Assessment at Workplace 2017. Where risks such as repetitive work, awkward posture, overreaching or forceful exertion exist, appropriate assessment and controls shall be implemented.</v>
      </c>
      <c r="L242" s="167"/>
      <c r="M242" s="167"/>
      <c r="N242" s="167"/>
    </row>
    <row r="243" spans="1:15" ht="30" customHeight="1">
      <c r="A243" s="44" t="s">
        <v>8</v>
      </c>
      <c r="B243" s="43" t="b">
        <v>0</v>
      </c>
      <c r="D243" s="173"/>
      <c r="E243" s="174"/>
      <c r="F243" s="174"/>
      <c r="G243" s="174"/>
      <c r="H243" s="174"/>
      <c r="I243" s="175"/>
      <c r="K243" s="167"/>
      <c r="L243" s="167"/>
      <c r="M243" s="167"/>
      <c r="N243" s="167"/>
    </row>
    <row r="244" spans="1:15" ht="5" customHeight="1">
      <c r="A244" s="188" t="str">
        <f>IF('back-data'!$A$1=1,"Bahasa Malaysia:Aktiviti berisiko masalah ergonomik","")</f>
        <v>Bahasa Malaysia:Aktiviti berisiko masalah ergonomik</v>
      </c>
      <c r="B244" s="188"/>
      <c r="D244" s="45"/>
      <c r="E244" s="45"/>
      <c r="F244" s="45"/>
      <c r="G244" s="45"/>
      <c r="H244" s="45"/>
      <c r="I244" s="45"/>
      <c r="K244" s="168"/>
      <c r="L244" s="168"/>
      <c r="M244" s="168"/>
      <c r="N244" s="168"/>
    </row>
    <row r="245" spans="1:15" ht="31" customHeight="1">
      <c r="A245" s="189"/>
      <c r="B245" s="189"/>
      <c r="D245" s="176" t="s">
        <v>642</v>
      </c>
      <c r="E245" s="177"/>
      <c r="F245" s="177"/>
      <c r="G245" s="177"/>
      <c r="H245" s="177"/>
      <c r="I245" s="178"/>
      <c r="K245" s="168"/>
      <c r="L245" s="168"/>
      <c r="M245" s="168"/>
      <c r="N245" s="168"/>
    </row>
    <row r="246" spans="1:15">
      <c r="A246" s="4"/>
      <c r="K246" s="169"/>
      <c r="L246" s="169"/>
      <c r="M246" s="169"/>
      <c r="N246" s="169"/>
    </row>
    <row r="248" spans="1:15" ht="31">
      <c r="A248" s="1" t="s">
        <v>589</v>
      </c>
      <c r="J248" s="113" t="b">
        <v>0</v>
      </c>
      <c r="K248" s="112" t="str">
        <f>IF(J250=7,"",IF(J248=FALSE,"Click to read the note","Clear checkbox to hide the notes"))</f>
        <v>Click to read the note</v>
      </c>
    </row>
    <row r="249" spans="1:15">
      <c r="A249" t="s">
        <v>1337</v>
      </c>
      <c r="L249" s="112"/>
    </row>
    <row r="250" spans="1:15" ht="24.5" customHeight="1">
      <c r="A250" s="5" t="s">
        <v>9</v>
      </c>
      <c r="B250" s="46" t="b">
        <v>0</v>
      </c>
      <c r="D250" s="179" t="str">
        <f>CONCATENATE('back-data'!B56,"(",'back-data'!C56,")")</f>
        <v>Fire Services Act 1988 requires Fire Certificate for designated premises; (Not applicable)</v>
      </c>
      <c r="E250" s="180"/>
      <c r="F250" s="180"/>
      <c r="G250" s="180"/>
      <c r="H250" s="180"/>
      <c r="I250" s="181"/>
      <c r="J250" s="26">
        <f>COUNTIF(B250:B256,TRUE)</f>
        <v>0</v>
      </c>
      <c r="K250" s="199" t="str">
        <f>IF(AND($J$248=TRUE,B250=FALSE),"Designated premises criteria: Open corridor: ≥10 storeys or ≥5,000 m²; other design: ≥6 storeys or ≥3,000 m² total floor area.","")</f>
        <v/>
      </c>
      <c r="L250" s="199"/>
      <c r="M250" s="199"/>
      <c r="N250" s="199"/>
      <c r="O250" s="169"/>
    </row>
    <row r="251" spans="1:15" ht="24.5" customHeight="1">
      <c r="A251" s="5" t="s">
        <v>10</v>
      </c>
      <c r="B251" s="46" t="b">
        <v>0</v>
      </c>
      <c r="D251" s="179" t="str">
        <f>CONCATENATE('back-data'!B57,"(",'back-data'!C57,")")</f>
        <v>Fire Services Act 1988 requires Fire Certificate for designated premises; (Not applicable)</v>
      </c>
      <c r="E251" s="180"/>
      <c r="F251" s="180"/>
      <c r="G251" s="180"/>
      <c r="H251" s="180"/>
      <c r="I251" s="181"/>
      <c r="K251" s="199" t="str">
        <f>IF(AND($J$248=TRUE,B251=FALSE),"Designated premises criteria: Open corridor: Building height ≥30 m or total floor area ≥10,000 m².","")</f>
        <v/>
      </c>
      <c r="L251" s="199"/>
      <c r="M251" s="199"/>
      <c r="N251" s="199"/>
      <c r="O251" s="169"/>
    </row>
    <row r="252" spans="1:15" ht="24.5" customHeight="1">
      <c r="A252" s="5" t="s">
        <v>11</v>
      </c>
      <c r="B252" s="46" t="b">
        <v>0</v>
      </c>
      <c r="D252" s="179" t="str">
        <f>CONCATENATE('back-data'!B58,"(",'back-data'!C58,")")</f>
        <v>Fire Services Act 1988 requires Fire Certificate for designated premises; (Not applicable)</v>
      </c>
      <c r="E252" s="180"/>
      <c r="F252" s="180"/>
      <c r="G252" s="180"/>
      <c r="H252" s="180"/>
      <c r="I252" s="181"/>
      <c r="K252" s="199" t="str">
        <f>IF(AND($J$248=TRUE,B252=FALSE),"Designated premises criteria: 3000 m² and over for total floor area.","")</f>
        <v/>
      </c>
      <c r="L252" s="199"/>
      <c r="M252" s="199"/>
      <c r="N252" s="199"/>
      <c r="O252" s="169"/>
    </row>
    <row r="253" spans="1:15" ht="24.5" customHeight="1">
      <c r="A253" s="5" t="s">
        <v>12</v>
      </c>
      <c r="B253" s="46" t="b">
        <v>0</v>
      </c>
      <c r="D253" s="179" t="str">
        <f>CONCATENATE('back-data'!B59,"(",'back-data'!C59,")")</f>
        <v>Fire Services Act 1988 requires Fire Certificate for designated premises; (Not applicable)</v>
      </c>
      <c r="E253" s="180"/>
      <c r="F253" s="180"/>
      <c r="G253" s="180"/>
      <c r="H253" s="180"/>
      <c r="I253" s="181"/>
      <c r="K253" s="199" t="str">
        <f>IF(AND($J$248=TRUE,B253=FALSE),"Designated premises criteria: Single-storey (≥2,000 m²) or multi-storey (≥2,000 m²) buildings with automatic sprinkler systems, and special structures involving hazardous processes.","")</f>
        <v/>
      </c>
      <c r="L253" s="199"/>
      <c r="M253" s="199"/>
      <c r="N253" s="199"/>
      <c r="O253" s="169"/>
    </row>
    <row r="254" spans="1:15" ht="24.5" customHeight="1">
      <c r="A254" s="5" t="s">
        <v>13</v>
      </c>
      <c r="B254" s="46" t="b">
        <v>0</v>
      </c>
      <c r="D254" s="179" t="str">
        <f>CONCATENATE('back-data'!B60,"(",'back-data'!C60,")")</f>
        <v>Fire Services Act 1988 requires Fire Certificate for designated premises; (Not applicable)</v>
      </c>
      <c r="E254" s="180"/>
      <c r="F254" s="180"/>
      <c r="G254" s="180"/>
      <c r="H254" s="180"/>
      <c r="I254" s="181"/>
      <c r="K254" s="199" t="str">
        <f>IF(AND($J$248=TRUE,B254=FALSE),"Designated premises criteria: Open corridor: Buildings below exit discharge level (≥1,000 m²) or places of assembly with total floor area ≥2,000 m².","")</f>
        <v/>
      </c>
      <c r="L254" s="199"/>
      <c r="M254" s="199"/>
      <c r="N254" s="199"/>
      <c r="O254" s="169"/>
    </row>
    <row r="255" spans="1:15" ht="24.5" customHeight="1">
      <c r="A255" s="5" t="s">
        <v>14</v>
      </c>
      <c r="B255" s="46" t="b">
        <v>0</v>
      </c>
      <c r="D255" s="179" t="str">
        <f>CONCATENATE('back-data'!B61,"(",'back-data'!C61,")")</f>
        <v>Fire Services Act 1988 requires Fire Certificate for designated premises; (Not applicable)</v>
      </c>
      <c r="E255" s="180"/>
      <c r="F255" s="180"/>
      <c r="G255" s="180"/>
      <c r="H255" s="180"/>
      <c r="I255" s="181"/>
      <c r="K255" s="199" t="str">
        <f>IF(AND($J$248=TRUE,B255=FALSE),"Designated premises criteria: Underground car parks (≥2,000 m²) or enclosed spaces (≥1,000 m² or ≥7,000 m³) with automatic sprinkler systems installed.","")</f>
        <v/>
      </c>
      <c r="L255" s="199"/>
      <c r="M255" s="199"/>
      <c r="N255" s="199"/>
      <c r="O255" s="169"/>
    </row>
    <row r="256" spans="1:15" ht="24.5" customHeight="1">
      <c r="A256" s="5" t="s">
        <v>15</v>
      </c>
      <c r="B256" s="46" t="b">
        <v>0</v>
      </c>
      <c r="D256" s="179" t="str">
        <f>CONCATENATE('back-data'!B62,"(",'back-data'!C62,")")</f>
        <v>Fire Services Act 1988 requires Fire Certificate for designated premises; (Not applicable)</v>
      </c>
      <c r="E256" s="180"/>
      <c r="F256" s="180"/>
      <c r="G256" s="180"/>
      <c r="H256" s="180"/>
      <c r="I256" s="181"/>
      <c r="K256" s="199" t="str">
        <f>IF(AND($J$248=TRUE,B256=FALSE),"Designated premises criteria: Underground car parks (≥2,000 m²) or enclosed spaces (≥1,000 m² or ≥7,000 m³) with automatic sprinkler systems installed.","")</f>
        <v/>
      </c>
      <c r="L256" s="199"/>
      <c r="M256" s="199"/>
      <c r="N256" s="199"/>
      <c r="O256" s="169"/>
    </row>
    <row r="257" spans="1:15">
      <c r="A257" s="4"/>
    </row>
    <row r="258" spans="1:15" ht="33.5" customHeight="1">
      <c r="A258" s="201" t="s">
        <v>2070</v>
      </c>
      <c r="B258" s="169"/>
      <c r="C258" s="169"/>
      <c r="D258" s="169"/>
      <c r="E258" s="169"/>
      <c r="F258" s="169"/>
      <c r="G258" s="169"/>
      <c r="H258" s="169"/>
      <c r="I258" s="169"/>
      <c r="J258" s="113" t="b">
        <v>0</v>
      </c>
      <c r="K258" s="112" t="str">
        <f>IF(J262=15,"",IF(J258=FALSE,"Click to read the note","Clear checkbox to hide the notes"))</f>
        <v>Click to read the note</v>
      </c>
    </row>
    <row r="259" spans="1:15" ht="19.5" customHeight="1">
      <c r="A259" s="190" t="s">
        <v>2069</v>
      </c>
      <c r="B259" s="190"/>
      <c r="C259" s="190"/>
      <c r="D259" s="190"/>
      <c r="E259" s="190"/>
      <c r="F259" s="190"/>
      <c r="G259" s="190"/>
      <c r="H259" s="190"/>
      <c r="I259" s="190"/>
      <c r="K259" s="38"/>
    </row>
    <row r="260" spans="1:15" ht="29.5" customHeight="1">
      <c r="A260" s="4" t="s">
        <v>2068</v>
      </c>
      <c r="B260" s="46" t="b">
        <v>0</v>
      </c>
      <c r="D260" s="179" t="str">
        <f>IF(B260="","Tick Checkbox if applicable",CONCATENATE('back-data'!B64," - (",'back-data'!C64,")"))</f>
        <v>Building to comply UBBL 1984 - (Not applicable)</v>
      </c>
      <c r="E260" s="180"/>
      <c r="F260" s="180"/>
      <c r="G260" s="180"/>
      <c r="H260" s="180"/>
      <c r="I260" s="181"/>
      <c r="J260" s="26">
        <f>COUNTIF(B260:B274,TRUE)</f>
        <v>0</v>
      </c>
      <c r="K260" s="199" t="str">
        <f>IF(AND($J$258=TRUE,B260=FALSE),"Safe, approved and maintained building conditions for occupancy and workplace use.","")</f>
        <v/>
      </c>
      <c r="L260" s="200"/>
      <c r="M260" s="200"/>
      <c r="N260" s="200"/>
    </row>
    <row r="261" spans="1:15" ht="29.5" customHeight="1">
      <c r="A261" s="4" t="s">
        <v>2064</v>
      </c>
      <c r="B261" s="46" t="b">
        <v>0</v>
      </c>
      <c r="D261" s="179" t="str">
        <f>IF(B261="","Tick Checkbox if applicable",CONCATENATE('back-data'!B65," - (",'back-data'!C65,")"))</f>
        <v>Building to comply UBBL 1984 - (Not applicable)</v>
      </c>
      <c r="E261" s="180"/>
      <c r="F261" s="180"/>
      <c r="G261" s="180"/>
      <c r="H261" s="180"/>
      <c r="I261" s="181"/>
      <c r="J261" s="26">
        <f>COUNTIF(B261:B275,TRUE)</f>
        <v>0</v>
      </c>
      <c r="K261" s="199" t="str">
        <f>IF(AND($J$258=TRUE,B261=FALSE),"Renovation works approved and maintained without compromising building safety, access, ventilation and occupancy requirements.","")</f>
        <v/>
      </c>
      <c r="L261" s="200"/>
      <c r="M261" s="200"/>
      <c r="N261" s="200"/>
    </row>
    <row r="262" spans="1:15" ht="29.5" customHeight="1">
      <c r="A262" s="4" t="s">
        <v>16</v>
      </c>
      <c r="B262" s="46" t="b">
        <v>0</v>
      </c>
      <c r="D262" s="179" t="str">
        <f>IF(B262="","Tick Checkbox if applicable",CONCATENATE('back-data'!B66," - (",'back-data'!C66,")"))</f>
        <v>Plant Requiring Certificate of Fitness Regulations 2024 - (Not applicable)</v>
      </c>
      <c r="E262" s="180"/>
      <c r="F262" s="180"/>
      <c r="G262" s="180"/>
      <c r="H262" s="180"/>
      <c r="I262" s="181"/>
      <c r="J262" s="26">
        <f>COUNTIF(B262:B276,TRUE)</f>
        <v>0</v>
      </c>
      <c r="K262" s="199" t="str">
        <f>IF(AND($J$258=TRUE,B262=FALSE),"Air compressor / air receiver means equipment used to compress and store compressed air for industrial use.","")</f>
        <v/>
      </c>
      <c r="L262" s="200"/>
      <c r="M262" s="200"/>
      <c r="N262" s="200"/>
      <c r="O262" s="132"/>
    </row>
    <row r="263" spans="1:15" ht="29.5" customHeight="1">
      <c r="A263" s="4" t="s">
        <v>17</v>
      </c>
      <c r="B263" s="46" t="b">
        <v>0</v>
      </c>
      <c r="D263" s="179" t="str">
        <f>IF(B263="","Tick Checkbox if applicable",CONCATENATE('back-data'!B67," - (",'back-data'!C67,")"))</f>
        <v>Plant Requiring Certificate of Fitness Regulations 2024 - (Not applicable)</v>
      </c>
      <c r="E263" s="180"/>
      <c r="F263" s="180"/>
      <c r="G263" s="180"/>
      <c r="H263" s="180"/>
      <c r="I263" s="181"/>
      <c r="K263" s="199" t="str">
        <f>IF(AND($J$258=TRUE,B263=FALSE),"Hoist, lift and crane mean lifting machinery used to raise, lower or transport persons or loads.","")</f>
        <v/>
      </c>
      <c r="L263" s="200"/>
      <c r="M263" s="200"/>
      <c r="N263" s="200"/>
    </row>
    <row r="264" spans="1:15" ht="29.5" customHeight="1">
      <c r="A264" s="4" t="s">
        <v>18</v>
      </c>
      <c r="B264" s="46" t="b">
        <v>0</v>
      </c>
      <c r="D264" s="179" t="str">
        <f>IF(B264="","Tick Checkbox if applicable",CONCATENATE('back-data'!B68," - (",'back-data'!C68,")"))</f>
        <v>EQA Clean Air Regulations may apply to generator exhaust - (Not applicable)</v>
      </c>
      <c r="E264" s="180"/>
      <c r="F264" s="180"/>
      <c r="G264" s="180"/>
      <c r="H264" s="180"/>
      <c r="I264" s="181"/>
      <c r="K264" s="199" t="str">
        <f>IF(AND($J$258=TRUE,B264=FALSE),"Generator set means equipment that converts mechanical energy into electrical power for workplace use.","")</f>
        <v/>
      </c>
      <c r="L264" s="200"/>
      <c r="M264" s="200"/>
      <c r="N264" s="200"/>
    </row>
    <row r="265" spans="1:15" ht="29.5" customHeight="1">
      <c r="A265" s="4" t="s">
        <v>19</v>
      </c>
      <c r="B265" s="46" t="b">
        <v>0</v>
      </c>
      <c r="D265" s="179" t="str">
        <f>IF(B265="","Tick Checkbox if applicable",CONCATENATE('back-data'!B69," - (",'back-data'!C69,")"))</f>
        <v>Supply Control Act / Supply Control Regulations apply to diesel as controlled goods; EQA/OSHA controls apply for spill and fire risk.  - (Not applicable)</v>
      </c>
      <c r="E265" s="180"/>
      <c r="F265" s="180"/>
      <c r="G265" s="180"/>
      <c r="H265" s="180"/>
      <c r="I265" s="181"/>
      <c r="K265" s="199" t="str">
        <f>IF(AND($J$258=TRUE,B265=FALSE),"Diesel storage tank means a tank used for storing diesel fuel for industrial or commercial purposes.","")</f>
        <v/>
      </c>
      <c r="L265" s="200"/>
      <c r="M265" s="200"/>
      <c r="N265" s="200"/>
    </row>
    <row r="266" spans="1:15" ht="29.5" customHeight="1">
      <c r="A266" s="4" t="s">
        <v>20</v>
      </c>
      <c r="B266" s="46" t="b">
        <v>0</v>
      </c>
      <c r="D266" s="179" t="str">
        <f>IF(B266="","Tick Checkbox if applicable",CONCATENATE('back-data'!B70," - (",'back-data'!C70,")"))</f>
        <v>Environmental Quality (Scheduled Wastes) Regulations 2005. - (Not applicable)</v>
      </c>
      <c r="E266" s="180"/>
      <c r="F266" s="180"/>
      <c r="G266" s="180"/>
      <c r="H266" s="180"/>
      <c r="I266" s="181"/>
      <c r="K266" s="199" t="str">
        <f>IF(AND($J$258=TRUE,B266=FALSE),"Scheduled waste store means a designated area for temporary storage of scheduled wastes before recovery or disposal.","")</f>
        <v/>
      </c>
      <c r="L266" s="200"/>
      <c r="M266" s="200"/>
      <c r="N266" s="200"/>
    </row>
    <row r="267" spans="1:15" ht="29.5" customHeight="1">
      <c r="A267" s="4" t="s">
        <v>21</v>
      </c>
      <c r="B267" s="46" t="b">
        <v>0</v>
      </c>
      <c r="D267" s="179" t="str">
        <f>IF(B267="","Tick Checkbox if applicable",CONCATENATE('back-data'!B71," - (",'back-data'!C71,")"))</f>
        <v>Environmental Quality (Clean Air) Regulations 2014 apply to air pollution control and emission sources.  - (Not applicable)</v>
      </c>
      <c r="E267" s="180"/>
      <c r="F267" s="180"/>
      <c r="G267" s="180"/>
      <c r="H267" s="180"/>
      <c r="I267" s="181"/>
      <c r="K267" s="199" t="str">
        <f>IF(AND($J$258=TRUE,B267=FALSE),"Chimney or stack means an emission outlet used to discharge pollutants into the atmosphere.","")</f>
        <v/>
      </c>
      <c r="L267" s="200"/>
      <c r="M267" s="200"/>
      <c r="N267" s="200"/>
    </row>
    <row r="268" spans="1:15" ht="29.5" customHeight="1">
      <c r="A268" s="4" t="s">
        <v>22</v>
      </c>
      <c r="B268" s="46" t="b">
        <v>0</v>
      </c>
      <c r="D268" s="179" t="str">
        <f>IF(B268="","Tick Checkbox if applicable",CONCATENATE('back-data'!B72," - (",'back-data'!C72,")"))</f>
        <v>Plant Requiring Certificate of Fitness Regulations 2024. - (Not applicable)</v>
      </c>
      <c r="E268" s="180"/>
      <c r="F268" s="180"/>
      <c r="G268" s="180"/>
      <c r="H268" s="180"/>
      <c r="I268" s="181"/>
      <c r="K268" s="199" t="str">
        <f>IF(AND($J$258=TRUE,B268=FALSE),"Steam boiler means plant used to generate steam under pressure for industrial processes.","")</f>
        <v/>
      </c>
      <c r="L268" s="200"/>
      <c r="M268" s="200"/>
      <c r="N268" s="200"/>
    </row>
    <row r="269" spans="1:15" ht="29.5" customHeight="1">
      <c r="A269" s="4" t="s">
        <v>23</v>
      </c>
      <c r="B269" s="46" t="b">
        <v>0</v>
      </c>
      <c r="D269" s="179" t="str">
        <f>IF(B269="","Tick Checkbox if applicable",CONCATENATE('back-data'!B73," - (",'back-data'!C73,")"))</f>
        <v>Environmental Quality (Industrial Effluent) Regulations 2009 apply to industrial/mixed effluent treatment and discharge.  - (Not applicable)</v>
      </c>
      <c r="E269" s="180"/>
      <c r="F269" s="180"/>
      <c r="G269" s="180"/>
      <c r="H269" s="180"/>
      <c r="I269" s="181"/>
      <c r="K269" s="199" t="str">
        <f>IF(AND($J$258=TRUE,B269=FALSE),"Wastewater treatment plant means a system used to treat industrial wastewater before discharge.","")</f>
        <v/>
      </c>
      <c r="L269" s="200"/>
      <c r="M269" s="200"/>
      <c r="N269" s="200"/>
    </row>
    <row r="270" spans="1:15" ht="29.5" customHeight="1">
      <c r="A270" s="4" t="s">
        <v>24</v>
      </c>
      <c r="B270" s="46" t="b">
        <v>0</v>
      </c>
      <c r="D270" s="179" t="str">
        <f>IF(B270="","Tick Checkbox if applicable",CONCATENATE('back-data'!B74," - (",'back-data'!C74,")"))</f>
        <v>Environmental Quality (Sewage) Regulations 2009 apply to sewage discharge from premises.  - (Not applicable)</v>
      </c>
      <c r="E270" s="180"/>
      <c r="F270" s="180"/>
      <c r="G270" s="180"/>
      <c r="H270" s="180"/>
      <c r="I270" s="181"/>
      <c r="K270" s="199" t="str">
        <f>IF(AND($J$258=TRUE,B270=FALSE),"Sewage treatment plant means a sewage treatment system used to receive, treat and dispose of sewage.","")</f>
        <v/>
      </c>
      <c r="L270" s="200"/>
      <c r="M270" s="200"/>
      <c r="N270" s="200"/>
    </row>
    <row r="271" spans="1:15" ht="29.5" customHeight="1">
      <c r="A271" s="4" t="s">
        <v>25</v>
      </c>
      <c r="B271" s="46" t="b">
        <v>0</v>
      </c>
      <c r="D271" s="179" t="str">
        <f>IF(B271="","Tick Checkbox if applicable",CONCATENATE('back-data'!B75," - (",'back-data'!C75,")"))</f>
        <v>Water Services Industry Act 2006 requires private sewerage system/septic tank to be maintained, desludged and not cause nuisance or health harm.  - (Not applicable)</v>
      </c>
      <c r="E271" s="180"/>
      <c r="F271" s="180"/>
      <c r="G271" s="180"/>
      <c r="H271" s="180"/>
      <c r="I271" s="181"/>
      <c r="K271" s="199" t="str">
        <f>IF(AND($J$258=TRUE,B271=FALSE),"Water system or septic tank means a system used to supply water or collect and treat domestic sewage.","")</f>
        <v/>
      </c>
      <c r="L271" s="200"/>
      <c r="M271" s="200"/>
      <c r="N271" s="200"/>
    </row>
    <row r="272" spans="1:15" ht="29.5" customHeight="1">
      <c r="A272" s="4" t="s">
        <v>26</v>
      </c>
      <c r="B272" s="46" t="b">
        <v>0</v>
      </c>
      <c r="D272" s="179" t="str">
        <f>IF(B272="","Tick Checkbox if applicable",CONCATENATE('back-data'!B76," - (",'back-data'!C76,")"))</f>
        <v>OSHA 1994 requires workplace transport risk assessment and control for plant/vehicles.  - (Not applicable)</v>
      </c>
      <c r="E272" s="180"/>
      <c r="F272" s="180"/>
      <c r="G272" s="180"/>
      <c r="H272" s="180"/>
      <c r="I272" s="181"/>
      <c r="K272" s="199" t="str">
        <f>IF(AND($J$258=TRUE,B272=FALSE),"Industrial vehicles or forklifts mean powered vehicles used for lifting, transporting or handling materials.","")</f>
        <v/>
      </c>
      <c r="L272" s="200"/>
      <c r="M272" s="200"/>
      <c r="N272" s="200"/>
    </row>
    <row r="273" spans="1:14" ht="29.5" customHeight="1">
      <c r="A273" s="4" t="s">
        <v>27</v>
      </c>
      <c r="B273" s="46" t="b">
        <v>0</v>
      </c>
      <c r="D273" s="179" t="str">
        <f>IF(B273="","Tick Checkbox if applicable",CONCATENATE('back-data'!B77," - (",'back-data'!C77,")"))</f>
        <v>OSHA 1994 requires health risk control; EQA/WSIA may apply where discharge or water system risk exists.  - (Not applicable)</v>
      </c>
      <c r="E273" s="180"/>
      <c r="F273" s="180"/>
      <c r="G273" s="180"/>
      <c r="H273" s="180"/>
      <c r="I273" s="181"/>
      <c r="K273" s="199" t="str">
        <f>IF(AND($J$258=TRUE,B273=FALSE),"Cooling tower means an evaporative cooling system used to remove heat from circulating water.","")</f>
        <v/>
      </c>
      <c r="L273" s="200"/>
      <c r="M273" s="200"/>
      <c r="N273" s="200"/>
    </row>
    <row r="274" spans="1:14" ht="29.5" customHeight="1">
      <c r="A274" s="4" t="s">
        <v>28</v>
      </c>
      <c r="B274" s="46" t="b">
        <v>0</v>
      </c>
      <c r="D274" s="179" t="str">
        <f>IF(B274="","Tick Checkbox if applicable",CONCATENATE('back-data'!B78," - (",'back-data'!C78,")"))</f>
        <v>Plant Requiring Certificate of Fitness Regulations 2024.  - (Not applicable)</v>
      </c>
      <c r="E274" s="180"/>
      <c r="F274" s="180"/>
      <c r="G274" s="180"/>
      <c r="H274" s="180"/>
      <c r="I274" s="181"/>
      <c r="K274" s="199" t="str">
        <f>IF(AND($J$258=TRUE,B274=FALSE),"Pressure vessel means plant designed to contain fluids under pressure.","")</f>
        <v/>
      </c>
      <c r="L274" s="200"/>
      <c r="M274" s="200"/>
      <c r="N274" s="200"/>
    </row>
    <row r="275" spans="1:14" ht="29.5" customHeight="1">
      <c r="A275" s="4" t="s">
        <v>29</v>
      </c>
      <c r="B275" s="46" t="b">
        <v>0</v>
      </c>
      <c r="D275" s="179" t="str">
        <f>IF(B275="","Tick Checkbox if applicable",CONCATENATE('back-data'!B79," - (",'back-data'!C79,")"))</f>
        <v>LPG is listed as a controlled good under Supply Control Regulations; OSHA controls apply for fire/explosion and handling risk. - (Not applicable)</v>
      </c>
      <c r="E275" s="180"/>
      <c r="F275" s="180"/>
      <c r="G275" s="180"/>
      <c r="H275" s="180"/>
      <c r="I275" s="181"/>
      <c r="K275" s="199" t="str">
        <f>IF(AND($J$258=TRUE,B275=FALSE),"LPG storage means facilities used for storing liquefied petroleum gas under pressure.","")</f>
        <v/>
      </c>
      <c r="L275" s="200"/>
      <c r="M275" s="200"/>
      <c r="N275" s="200"/>
    </row>
    <row r="276" spans="1:14" ht="29.5" customHeight="1">
      <c r="A276" s="4" t="s">
        <v>581</v>
      </c>
      <c r="B276" s="46" t="b">
        <v>0</v>
      </c>
      <c r="D276" s="179" t="str">
        <f>IF(B276="","Tick Checkbox if applicable",CONCATENATE('back-data'!B80," - (",'back-data'!C80,")"))</f>
        <v>EQ (Refrigerant Management) Regulations 2020 replace the 1999 regulation. - (Not applicable)</v>
      </c>
      <c r="E276" s="180"/>
      <c r="F276" s="180"/>
      <c r="G276" s="180"/>
      <c r="H276" s="180"/>
      <c r="I276" s="181"/>
      <c r="K276" s="199" t="str">
        <f>IF(AND($J$258=TRUE,B276=FALSE),"Refrigerant means a substance used in refrigeration or air-conditioning systems for heat transfer.","")</f>
        <v/>
      </c>
      <c r="L276" s="200"/>
      <c r="M276" s="200"/>
      <c r="N276" s="200"/>
    </row>
    <row r="278" spans="1:14" ht="31">
      <c r="A278" s="1" t="s">
        <v>1347</v>
      </c>
    </row>
    <row r="279" spans="1:14">
      <c r="A279" s="4"/>
    </row>
    <row r="280" spans="1:14">
      <c r="A280" s="4" t="s">
        <v>1338</v>
      </c>
    </row>
    <row r="281" spans="1:14">
      <c r="A281" s="7" t="s">
        <v>7</v>
      </c>
      <c r="B281" s="6" t="b">
        <v>0</v>
      </c>
      <c r="D281" s="170" t="str">
        <f>IF(COUNTIF(B281:B282,TRUE)&gt;1,"Select only 1",IF(COUNTIF(B281:B282,FALSE)=2,"Please select either “Yes” or “No.” Only one option may be selected.",CONCATENATE('back-data'!B81," - (",'back-data'!C81,")")))</f>
        <v>Please select either “Yes” or “No.” Only one option may be selected.</v>
      </c>
      <c r="E281" s="171"/>
      <c r="F281" s="171"/>
      <c r="G281" s="171"/>
      <c r="H281" s="171"/>
      <c r="I281" s="172"/>
      <c r="K281" s="167" t="str">
        <f>IF(COUNTIF(B281:B282,TRUE),"",_xlfn._LONGTEXT("Note: Company vehicles include vehicles used to transport personnel, materials, equipment or products for work purposes. Where applicable, ensure authorised and competent drivers, vehicle inspection and maintenance, defensive driving, journey planning and"," compliance with road transport requirements."))</f>
        <v>Note: Company vehicles include vehicles used to transport personnel, materials, equipment or products for work purposes. Where applicable, ensure authorised and competent drivers, vehicle inspection and maintenance, defensive driving, journey planning and compliance with road transport requirements.</v>
      </c>
      <c r="L281" s="167"/>
      <c r="M281" s="167"/>
      <c r="N281" s="167"/>
    </row>
    <row r="282" spans="1:14" ht="30" customHeight="1">
      <c r="A282" s="44" t="s">
        <v>8</v>
      </c>
      <c r="B282" s="43" t="b">
        <v>0</v>
      </c>
      <c r="D282" s="173"/>
      <c r="E282" s="174"/>
      <c r="F282" s="174"/>
      <c r="G282" s="174"/>
      <c r="H282" s="174"/>
      <c r="I282" s="175"/>
      <c r="K282" s="167"/>
      <c r="L282" s="167"/>
      <c r="M282" s="167"/>
      <c r="N282" s="167"/>
    </row>
    <row r="283" spans="1:14" ht="5" customHeight="1">
      <c r="A283" s="188" t="str">
        <f>IF('back-data'!$A$1=1,"Bahasa Malaysia:Penggunaan kenderaan syarikat dalam operasi","")</f>
        <v>Bahasa Malaysia:Penggunaan kenderaan syarikat dalam operasi</v>
      </c>
      <c r="B283" s="188"/>
      <c r="D283" s="45"/>
      <c r="E283" s="45"/>
      <c r="F283" s="45"/>
      <c r="G283" s="45"/>
      <c r="H283" s="45"/>
      <c r="I283" s="45"/>
      <c r="K283" s="168"/>
      <c r="L283" s="168"/>
      <c r="M283" s="168"/>
      <c r="N283" s="168"/>
    </row>
    <row r="284" spans="1:14" ht="31" customHeight="1">
      <c r="A284" s="189"/>
      <c r="B284" s="189"/>
      <c r="D284" s="176" t="s">
        <v>1811</v>
      </c>
      <c r="E284" s="177"/>
      <c r="F284" s="177"/>
      <c r="G284" s="177"/>
      <c r="H284" s="177"/>
      <c r="I284" s="178"/>
      <c r="K284" s="168"/>
      <c r="L284" s="168"/>
      <c r="M284" s="168"/>
      <c r="N284" s="168"/>
    </row>
    <row r="285" spans="1:14">
      <c r="A285" s="4"/>
      <c r="D285" s="8"/>
      <c r="E285" s="8"/>
      <c r="F285" s="8"/>
      <c r="G285" s="8"/>
      <c r="H285" s="8"/>
      <c r="I285" s="8"/>
      <c r="K285" s="169"/>
      <c r="L285" s="169"/>
      <c r="M285" s="169"/>
      <c r="N285" s="169"/>
    </row>
    <row r="286" spans="1:14">
      <c r="A286" s="4" t="s">
        <v>1339</v>
      </c>
      <c r="D286" s="8"/>
      <c r="E286" s="8"/>
      <c r="F286" s="8"/>
      <c r="G286" s="8"/>
      <c r="H286" s="8"/>
      <c r="I286" s="8"/>
    </row>
    <row r="287" spans="1:14">
      <c r="A287" s="7" t="s">
        <v>7</v>
      </c>
      <c r="B287" s="6" t="b">
        <v>0</v>
      </c>
      <c r="D287" s="170" t="str">
        <f>IF(COUNTIF(B287:B288,TRUE)&gt;1,"Select only 1",IF(COUNTIF(B287:B288,FALSE)=2,"Please select either “Yes” or “No.” Only one option may be selected.",CONCATENATE('back-data'!B82," - (",'back-data'!C82,")")))</f>
        <v>Please select either “Yes” or “No.” Only one option may be selected.</v>
      </c>
      <c r="E287" s="171"/>
      <c r="F287" s="171"/>
      <c r="G287" s="171"/>
      <c r="H287" s="171"/>
      <c r="I287" s="172"/>
      <c r="K287" s="167" t="str">
        <f>IF(COUNTIF(B287:B288,TRUE),"",_xlfn._LONGTEXT("Note: Hazardous materials are substances classified by physical, health or environmental hazards under the CLASS Regulations. Where transported, ensure proper classification, packaging, labelling, documentation, suitable vehicles, competent personnel, spi","ll control and emergency preparedness."))</f>
        <v>Note: Hazardous materials are substances classified by physical, health or environmental hazards under the CLASS Regulations. Where transported, ensure proper classification, packaging, labelling, documentation, suitable vehicles, competent personnel, spill control and emergency preparedness.</v>
      </c>
      <c r="L287" s="167"/>
      <c r="M287" s="167"/>
      <c r="N287" s="167"/>
    </row>
    <row r="288" spans="1:14" ht="30" customHeight="1">
      <c r="A288" s="44" t="s">
        <v>8</v>
      </c>
      <c r="B288" s="43" t="b">
        <v>0</v>
      </c>
      <c r="D288" s="173"/>
      <c r="E288" s="174"/>
      <c r="F288" s="174"/>
      <c r="G288" s="174"/>
      <c r="H288" s="174"/>
      <c r="I288" s="175"/>
      <c r="K288" s="167"/>
      <c r="L288" s="167"/>
      <c r="M288" s="167"/>
      <c r="N288" s="167"/>
    </row>
    <row r="289" spans="1:14" ht="5" customHeight="1">
      <c r="A289" s="188" t="str">
        <f>IF('back-data'!$A$1=1,"Bahasa Malaysia:Pengangkutan bahan berbahaya","")</f>
        <v>Bahasa Malaysia:Pengangkutan bahan berbahaya</v>
      </c>
      <c r="B289" s="188"/>
      <c r="D289" s="45"/>
      <c r="E289" s="45"/>
      <c r="F289" s="45"/>
      <c r="G289" s="45"/>
      <c r="H289" s="45"/>
      <c r="I289" s="45"/>
      <c r="K289" s="168"/>
      <c r="L289" s="168"/>
      <c r="M289" s="168"/>
      <c r="N289" s="168"/>
    </row>
    <row r="290" spans="1:14" ht="31" customHeight="1">
      <c r="A290" s="189"/>
      <c r="B290" s="189"/>
      <c r="D290" s="176" t="s">
        <v>582</v>
      </c>
      <c r="E290" s="177"/>
      <c r="F290" s="177"/>
      <c r="G290" s="177"/>
      <c r="H290" s="177"/>
      <c r="I290" s="178"/>
      <c r="K290" s="168"/>
      <c r="L290" s="168"/>
      <c r="M290" s="168"/>
      <c r="N290" s="168"/>
    </row>
    <row r="291" spans="1:14">
      <c r="A291" s="4"/>
      <c r="D291" s="8"/>
      <c r="E291" s="8"/>
      <c r="F291" s="8"/>
      <c r="G291" s="8"/>
      <c r="H291" s="8"/>
      <c r="I291" s="8"/>
      <c r="K291" s="169"/>
      <c r="L291" s="169"/>
      <c r="M291" s="169"/>
      <c r="N291" s="169"/>
    </row>
    <row r="292" spans="1:14">
      <c r="A292" s="4" t="s">
        <v>1340</v>
      </c>
      <c r="D292" s="8"/>
      <c r="E292" s="8"/>
      <c r="F292" s="8"/>
      <c r="G292" s="8"/>
      <c r="H292" s="8"/>
      <c r="I292" s="8"/>
    </row>
    <row r="293" spans="1:14">
      <c r="A293" s="7" t="s">
        <v>7</v>
      </c>
      <c r="B293" s="6" t="b">
        <v>0</v>
      </c>
      <c r="D293" s="170" t="str">
        <f>IF(COUNTIF(B293:B294,TRUE)&gt;1,"Select only 1",IF(COUNTIF(B293:B294,FALSE)=2,"Please select either “Yes” or “No.” Only one option may be selected.",CONCATENATE('back-data'!B83," - (",'back-data'!C83,")")))</f>
        <v>Please select either “Yes” or “No.” Only one option may be selected.</v>
      </c>
      <c r="E293" s="171"/>
      <c r="F293" s="171"/>
      <c r="G293" s="171"/>
      <c r="H293" s="171"/>
      <c r="I293" s="172"/>
      <c r="K293" s="167" t="str">
        <f>IF(COUNTIF(B293:B294,TRUE),"","Note: This question helps determine whether forklifts or material handling vehicles are operated. Where applicable, operator competency, vehicle safety, maintenance, traffic management and applicable legal requirements shall be complied with.")</f>
        <v>Note: This question helps determine whether forklifts or material handling vehicles are operated. Where applicable, operator competency, vehicle safety, maintenance, traffic management and applicable legal requirements shall be complied with.</v>
      </c>
      <c r="L293" s="167"/>
      <c r="M293" s="167"/>
      <c r="N293" s="167"/>
    </row>
    <row r="294" spans="1:14" ht="30" customHeight="1">
      <c r="A294" s="44" t="s">
        <v>8</v>
      </c>
      <c r="B294" s="43" t="b">
        <v>0</v>
      </c>
      <c r="D294" s="173"/>
      <c r="E294" s="174"/>
      <c r="F294" s="174"/>
      <c r="G294" s="174"/>
      <c r="H294" s="174"/>
      <c r="I294" s="175"/>
      <c r="K294" s="167"/>
      <c r="L294" s="167"/>
      <c r="M294" s="167"/>
      <c r="N294" s="167"/>
    </row>
    <row r="295" spans="1:14" ht="5" customHeight="1">
      <c r="A295" s="188" t="str">
        <f>IF('back-data'!$A$1=1,"Bahasa Malaysia:Pengoperasian forklift atau kenderaan pengendalian bahan","")</f>
        <v>Bahasa Malaysia:Pengoperasian forklift atau kenderaan pengendalian bahan</v>
      </c>
      <c r="B295" s="188"/>
      <c r="D295" s="45"/>
      <c r="E295" s="45"/>
      <c r="F295" s="45"/>
      <c r="G295" s="45"/>
      <c r="H295" s="45"/>
      <c r="I295" s="45"/>
      <c r="K295" s="168"/>
      <c r="L295" s="168"/>
      <c r="M295" s="168"/>
      <c r="N295" s="168"/>
    </row>
    <row r="296" spans="1:14" ht="31" customHeight="1">
      <c r="A296" s="189"/>
      <c r="B296" s="189"/>
      <c r="D296" s="176" t="s">
        <v>582</v>
      </c>
      <c r="E296" s="177"/>
      <c r="F296" s="177"/>
      <c r="G296" s="177"/>
      <c r="H296" s="177"/>
      <c r="I296" s="178"/>
      <c r="K296" s="168"/>
      <c r="L296" s="168"/>
      <c r="M296" s="168"/>
      <c r="N296" s="168"/>
    </row>
    <row r="297" spans="1:14">
      <c r="D297" s="8"/>
      <c r="E297" s="8"/>
      <c r="F297" s="8"/>
      <c r="G297" s="8"/>
      <c r="H297" s="8"/>
      <c r="I297" s="8"/>
      <c r="K297" s="169"/>
      <c r="L297" s="169"/>
      <c r="M297" s="169"/>
      <c r="N297" s="169"/>
    </row>
    <row r="298" spans="1:14" ht="31">
      <c r="A298" s="1" t="s">
        <v>1348</v>
      </c>
      <c r="D298" s="8"/>
      <c r="E298" s="8"/>
      <c r="F298" s="8"/>
      <c r="G298" s="8"/>
      <c r="H298" s="8"/>
      <c r="I298" s="8"/>
    </row>
    <row r="299" spans="1:14">
      <c r="A299" s="4"/>
      <c r="D299" s="8"/>
      <c r="E299" s="8"/>
      <c r="F299" s="8"/>
      <c r="G299" s="8"/>
      <c r="H299" s="8"/>
      <c r="I299" s="8"/>
    </row>
    <row r="300" spans="1:14">
      <c r="A300" s="4" t="s">
        <v>1341</v>
      </c>
      <c r="D300" s="8"/>
      <c r="E300" s="8"/>
      <c r="F300" s="8"/>
      <c r="G300" s="8"/>
      <c r="H300" s="8"/>
      <c r="I300" s="8"/>
    </row>
    <row r="301" spans="1:14">
      <c r="A301" s="7" t="s">
        <v>7</v>
      </c>
      <c r="B301" s="6" t="b">
        <v>0</v>
      </c>
      <c r="D301" s="170" t="str">
        <f>IF(COUNTIF(B301:B302,TRUE)&gt;1,"Select only 1",IF(COUNTIF(B301:B302,FALSE)=2,"Please select either “Yes” or “No.” Only one option may be selected.",CONCATENATE('back-data'!B84," - (",'back-data'!C84,")")))</f>
        <v>Please select either “Yes” or “No.” Only one option may be selected.</v>
      </c>
      <c r="E301" s="171"/>
      <c r="F301" s="171"/>
      <c r="G301" s="171"/>
      <c r="H301" s="171"/>
      <c r="I301" s="172"/>
      <c r="K301" s="167" t="str">
        <f>IF(COUNTIF(B301:B302,TRUE),"",_xlfn._LONGTEXT("Note: Premises near a river, drain, lake, pond, coast or other water body may be subject to the National Land Code 1965 and DID/JPS guidelines. Where applicable, implement controls to prevent pollution, discharge, runoff, spills, erosion and sedimentation","."))</f>
        <v>Note: Premises near a river, drain, lake, pond, coast or other water body may be subject to the National Land Code 1965 and DID/JPS guidelines. Where applicable, implement controls to prevent pollution, discharge, runoff, spills, erosion and sedimentation.</v>
      </c>
      <c r="L301" s="167"/>
      <c r="M301" s="167"/>
      <c r="N301" s="167"/>
    </row>
    <row r="302" spans="1:14" ht="30" customHeight="1">
      <c r="A302" s="44" t="s">
        <v>8</v>
      </c>
      <c r="B302" s="43" t="b">
        <v>0</v>
      </c>
      <c r="D302" s="173"/>
      <c r="E302" s="174"/>
      <c r="F302" s="174"/>
      <c r="G302" s="174"/>
      <c r="H302" s="174"/>
      <c r="I302" s="175"/>
      <c r="K302" s="167"/>
      <c r="L302" s="167"/>
      <c r="M302" s="167"/>
      <c r="N302" s="167"/>
    </row>
    <row r="303" spans="1:14" ht="5" customHeight="1">
      <c r="A303" s="188" t="str">
        <f>IF('back-data'!$A$1=1,"Bahasa Malaysia:Premis terletak berhampiran sungai atau kawasan perairan","")</f>
        <v>Bahasa Malaysia:Premis terletak berhampiran sungai atau kawasan perairan</v>
      </c>
      <c r="B303" s="188"/>
      <c r="D303" s="45"/>
      <c r="E303" s="45"/>
      <c r="F303" s="45"/>
      <c r="G303" s="45"/>
      <c r="H303" s="45"/>
      <c r="I303" s="45"/>
      <c r="K303" s="168"/>
      <c r="L303" s="168"/>
      <c r="M303" s="168"/>
      <c r="N303" s="168"/>
    </row>
    <row r="304" spans="1:14" ht="31" customHeight="1">
      <c r="A304" s="189"/>
      <c r="B304" s="189"/>
      <c r="D304" s="176" t="s">
        <v>582</v>
      </c>
      <c r="E304" s="177"/>
      <c r="F304" s="177"/>
      <c r="G304" s="177"/>
      <c r="H304" s="177"/>
      <c r="I304" s="178"/>
      <c r="K304" s="168"/>
      <c r="L304" s="168"/>
      <c r="M304" s="168"/>
      <c r="N304" s="168"/>
    </row>
    <row r="305" spans="1:14">
      <c r="A305" s="4"/>
      <c r="D305" s="8"/>
      <c r="E305" s="8"/>
      <c r="F305" s="8"/>
      <c r="G305" s="8"/>
      <c r="H305" s="8"/>
      <c r="I305" s="8"/>
      <c r="K305" s="169"/>
      <c r="L305" s="169"/>
      <c r="M305" s="169"/>
      <c r="N305" s="169"/>
    </row>
    <row r="306" spans="1:14">
      <c r="A306" s="4" t="s">
        <v>1342</v>
      </c>
      <c r="D306" s="8"/>
      <c r="E306" s="8"/>
      <c r="F306" s="8"/>
      <c r="G306" s="8"/>
      <c r="H306" s="8"/>
      <c r="I306" s="8"/>
    </row>
    <row r="307" spans="1:14">
      <c r="A307" s="7" t="s">
        <v>7</v>
      </c>
      <c r="B307" s="6" t="b">
        <v>0</v>
      </c>
      <c r="D307" s="170" t="str">
        <f>IF(COUNTIF(B307:B308,TRUE)&gt;1,"Select only 1",IF(COUNTIF(B307:B308,FALSE)=2,"Please select either “Yes” or “No.” Only one option may be selected.",CONCATENATE('back-data'!B85," - (",'back-data'!C85,")")))</f>
        <v>Please select either “Yes” or “No.” Only one option may be selected.</v>
      </c>
      <c r="E307" s="171"/>
      <c r="F307" s="171"/>
      <c r="G307" s="171"/>
      <c r="H307" s="171"/>
      <c r="I307" s="172"/>
      <c r="K307" s="167" t="str">
        <f>IF(COUNTIF(B307:B308,TRUE),"",_xlfn._LONGTEXT("Note: Premises near residential areas or sensitive receptors are subject to the Town and Country Planning Act 1976 and applicable PBT Local Plans. Where applicable, control noise, dust, odour, vibration, traffic, emissions, wastewater, waste and emergency"," risks to minimise community impacts."))</f>
        <v>Note: Premises near residential areas or sensitive receptors are subject to the Town and Country Planning Act 1976 and applicable PBT Local Plans. Where applicable, control noise, dust, odour, vibration, traffic, emissions, wastewater, waste and emergency risks to minimise community impacts.</v>
      </c>
      <c r="L307" s="167"/>
      <c r="M307" s="167"/>
      <c r="N307" s="167"/>
    </row>
    <row r="308" spans="1:14" ht="30" customHeight="1">
      <c r="A308" s="44" t="s">
        <v>8</v>
      </c>
      <c r="B308" s="43" t="b">
        <v>0</v>
      </c>
      <c r="D308" s="173"/>
      <c r="E308" s="174"/>
      <c r="F308" s="174"/>
      <c r="G308" s="174"/>
      <c r="H308" s="174"/>
      <c r="I308" s="175"/>
      <c r="K308" s="167"/>
      <c r="L308" s="167"/>
      <c r="M308" s="167"/>
      <c r="N308" s="167"/>
    </row>
    <row r="309" spans="1:14" ht="5" customHeight="1">
      <c r="A309" s="188" t="str">
        <f>IF('back-data'!$A$1=1,"Bahasa Malaysia:Premis berhampiran kawasan penempatan","")</f>
        <v>Bahasa Malaysia:Premis berhampiran kawasan penempatan</v>
      </c>
      <c r="B309" s="188"/>
      <c r="D309" s="45"/>
      <c r="E309" s="45"/>
      <c r="F309" s="45"/>
      <c r="G309" s="45"/>
      <c r="H309" s="45"/>
      <c r="I309" s="45"/>
      <c r="K309" s="168"/>
      <c r="L309" s="168"/>
      <c r="M309" s="168"/>
      <c r="N309" s="168"/>
    </row>
    <row r="310" spans="1:14" ht="31" customHeight="1">
      <c r="A310" s="189"/>
      <c r="B310" s="189"/>
      <c r="D310" s="176" t="s">
        <v>582</v>
      </c>
      <c r="E310" s="177"/>
      <c r="F310" s="177"/>
      <c r="G310" s="177"/>
      <c r="H310" s="177"/>
      <c r="I310" s="178"/>
      <c r="K310" s="168"/>
      <c r="L310" s="168"/>
      <c r="M310" s="168"/>
      <c r="N310" s="168"/>
    </row>
    <row r="311" spans="1:14">
      <c r="A311" s="4"/>
      <c r="D311" s="8"/>
      <c r="E311" s="8"/>
      <c r="F311" s="8"/>
      <c r="G311" s="8"/>
      <c r="H311" s="8"/>
      <c r="I311" s="8"/>
      <c r="K311" s="169"/>
      <c r="L311" s="169"/>
      <c r="M311" s="169"/>
      <c r="N311" s="169"/>
    </row>
    <row r="312" spans="1:14">
      <c r="A312" s="4" t="s">
        <v>1343</v>
      </c>
      <c r="D312" s="8"/>
      <c r="E312" s="8"/>
      <c r="F312" s="8"/>
      <c r="G312" s="8"/>
      <c r="H312" s="8"/>
      <c r="I312" s="8"/>
    </row>
    <row r="313" spans="1:14">
      <c r="A313" s="7" t="s">
        <v>7</v>
      </c>
      <c r="B313" s="6" t="b">
        <v>0</v>
      </c>
      <c r="D313" s="170" t="str">
        <f>IF(COUNTIF(B313:B314,TRUE)&gt;1,"Select only 1",IF(COUNTIF(B313:B314,FALSE)=2,"Please select either “Yes” or “No.” Only one option may be selected.",CONCATENATE('back-data'!B86," - (",'back-data'!C86,")")))</f>
        <v>Please select either “Yes” or “No.” Only one option may be selected.</v>
      </c>
      <c r="E313" s="171"/>
      <c r="F313" s="171"/>
      <c r="G313" s="171"/>
      <c r="H313" s="171"/>
      <c r="I313" s="172"/>
      <c r="K313" s="167" t="str">
        <f>IF(COUNTIF(B313:B314,TRUE),"",_xlfn._LONGTEXT("Note: Land clearing and earthworks include excavation or other activities that disturb land and may require approval under the EQA and National Land Code 1965. Where applicable, implement erosion, sediment, slope, dust, drainage and pollution controls, an","d obtain required permits or approvals."))</f>
        <v>Note: Land clearing and earthworks include excavation or other activities that disturb land and may require approval under the EQA and National Land Code 1965. Where applicable, implement erosion, sediment, slope, dust, drainage and pollution controls, and obtain required permits or approvals.</v>
      </c>
      <c r="L313" s="167"/>
      <c r="M313" s="167"/>
      <c r="N313" s="167"/>
    </row>
    <row r="314" spans="1:14" ht="30" customHeight="1">
      <c r="A314" s="44" t="s">
        <v>8</v>
      </c>
      <c r="B314" s="43" t="b">
        <v>0</v>
      </c>
      <c r="D314" s="173"/>
      <c r="E314" s="174"/>
      <c r="F314" s="174"/>
      <c r="G314" s="174"/>
      <c r="H314" s="174"/>
      <c r="I314" s="175"/>
      <c r="K314" s="167"/>
      <c r="L314" s="167"/>
      <c r="M314" s="167"/>
      <c r="N314" s="167"/>
    </row>
    <row r="315" spans="1:14" ht="5" customHeight="1">
      <c r="A315" s="188" t="str">
        <f>IF('back-data'!$A$1=1,"Bahasa Malaysia:Aktiviti pembangunan melibatkan kerja tanah","")</f>
        <v>Bahasa Malaysia:Aktiviti pembangunan melibatkan kerja tanah</v>
      </c>
      <c r="B315" s="188"/>
      <c r="D315" s="45"/>
      <c r="E315" s="45"/>
      <c r="F315" s="45"/>
      <c r="G315" s="45"/>
      <c r="H315" s="45"/>
      <c r="I315" s="45"/>
      <c r="K315" s="168"/>
      <c r="L315" s="168"/>
      <c r="M315" s="168"/>
      <c r="N315" s="168"/>
    </row>
    <row r="316" spans="1:14" ht="31" customHeight="1">
      <c r="A316" s="189"/>
      <c r="B316" s="189"/>
      <c r="D316" s="176" t="s">
        <v>582</v>
      </c>
      <c r="E316" s="177"/>
      <c r="F316" s="177"/>
      <c r="G316" s="177"/>
      <c r="H316" s="177"/>
      <c r="I316" s="178"/>
      <c r="K316" s="168"/>
      <c r="L316" s="168"/>
      <c r="M316" s="168"/>
      <c r="N316" s="168"/>
    </row>
    <row r="317" spans="1:14">
      <c r="A317" s="4"/>
      <c r="D317" s="8"/>
      <c r="E317" s="8"/>
      <c r="F317" s="8"/>
      <c r="G317" s="8"/>
      <c r="H317" s="8"/>
      <c r="I317" s="8"/>
      <c r="K317" s="169"/>
      <c r="L317" s="169"/>
      <c r="M317" s="169"/>
      <c r="N317" s="169"/>
    </row>
    <row r="318" spans="1:14">
      <c r="A318" s="4" t="s">
        <v>1344</v>
      </c>
      <c r="D318" s="8"/>
      <c r="E318" s="8"/>
      <c r="F318" s="8"/>
      <c r="G318" s="8"/>
      <c r="H318" s="8"/>
      <c r="I318" s="8"/>
    </row>
    <row r="319" spans="1:14">
      <c r="A319" s="7" t="s">
        <v>7</v>
      </c>
      <c r="B319" s="6" t="b">
        <v>0</v>
      </c>
      <c r="D319" s="170" t="str">
        <f>IF(COUNTIF(B319:B320,TRUE)&gt;1,"Select only 1",IF(COUNTIF(B319:B320,FALSE)=2,"Please select either “Yes” or “No.” Only one option may be selected.",CONCATENATE('back-data'!B87," - (",'back-data'!C87,")")))</f>
        <v>Please select either “Yes” or “No.” Only one option may be selected.</v>
      </c>
      <c r="E319" s="171"/>
      <c r="F319" s="171"/>
      <c r="G319" s="171"/>
      <c r="H319" s="171"/>
      <c r="I319" s="172"/>
      <c r="K319" s="167" t="str">
        <f>IF(COUNTIF(B319:B320,TRUE),"",_xlfn._LONGTEXT("Note: A solid waste transfer station or landfill is a facility for transferring, treating or disposing of solid waste under the Solid Waste and Public Cleansing Management Act 2007. Where operated, ensure required approval or licensing, proper waste contr","ol, leachate, odour, pest and fire management, monitoring and record keeping."))</f>
        <v>Note: A solid waste transfer station or landfill is a facility for transferring, treating or disposing of solid waste under the Solid Waste and Public Cleansing Management Act 2007. Where operated, ensure required approval or licensing, proper waste control, leachate, odour, pest and fire management, monitoring and record keeping.</v>
      </c>
      <c r="L319" s="167"/>
      <c r="M319" s="167"/>
      <c r="N319" s="167"/>
    </row>
    <row r="320" spans="1:14" ht="30" customHeight="1">
      <c r="A320" s="44" t="s">
        <v>8</v>
      </c>
      <c r="B320" s="43" t="b">
        <v>0</v>
      </c>
      <c r="D320" s="173"/>
      <c r="E320" s="174"/>
      <c r="F320" s="174"/>
      <c r="G320" s="174"/>
      <c r="H320" s="174"/>
      <c r="I320" s="175"/>
      <c r="K320" s="167"/>
      <c r="L320" s="167"/>
      <c r="M320" s="167"/>
      <c r="N320" s="167"/>
    </row>
    <row r="321" spans="1:14" ht="5" customHeight="1">
      <c r="A321" s="188" t="str">
        <f>IF('back-data'!$A$1=1,"Bahasa Malaysia:Pengurusan stesen pemindahan atau tapak pelupusan sisa pepejal","")</f>
        <v>Bahasa Malaysia:Pengurusan stesen pemindahan atau tapak pelupusan sisa pepejal</v>
      </c>
      <c r="B321" s="188"/>
      <c r="D321" s="45"/>
      <c r="E321" s="45"/>
      <c r="F321" s="45"/>
      <c r="G321" s="45"/>
      <c r="H321" s="45"/>
      <c r="I321" s="45"/>
      <c r="K321" s="168"/>
      <c r="L321" s="168"/>
      <c r="M321" s="168"/>
      <c r="N321" s="168"/>
    </row>
    <row r="322" spans="1:14" ht="31" customHeight="1">
      <c r="A322" s="189"/>
      <c r="B322" s="189"/>
      <c r="D322" s="176" t="s">
        <v>582</v>
      </c>
      <c r="E322" s="177"/>
      <c r="F322" s="177"/>
      <c r="G322" s="177"/>
      <c r="H322" s="177"/>
      <c r="I322" s="178"/>
      <c r="K322" s="168"/>
      <c r="L322" s="168"/>
      <c r="M322" s="168"/>
      <c r="N322" s="168"/>
    </row>
    <row r="323" spans="1:14">
      <c r="A323" s="4"/>
      <c r="D323" s="8"/>
      <c r="E323" s="8"/>
      <c r="F323" s="8"/>
      <c r="G323" s="8"/>
      <c r="H323" s="8"/>
      <c r="I323" s="8"/>
      <c r="K323" s="169"/>
      <c r="L323" s="169"/>
      <c r="M323" s="169"/>
      <c r="N323" s="169"/>
    </row>
  </sheetData>
  <sheetProtection algorithmName="SHA-512" hashValue="hiC+f57nMQCXPMcQvkgiLpNz0C8+cgVR68fZ3mo/hQWNIcF1Zi1R5L8keSph26KESrG66pT1OIHSQrtYqWbMCg==" saltValue="6Eeq+WipeBIwEkHQeTZNoQ==" spinCount="100000" sheet="1" formatCells="0" formatRows="0"/>
  <protectedRanges>
    <protectedRange sqref="N4" name="BM"/>
    <protectedRange sqref="D211:I211 D220:I220 D226:I226 D232:I232 D238:I238 D244:I244 D283:I283 D289:I289 D295:I295 D303:I303 D309:I309 D315:I315 D321:I321" name="assessor note2"/>
    <protectedRange sqref="D19:I20 D25:I26 D31:I32 D37:I38 D45:I47 D63:I64 D77:I78 D83:I84 D89:I90 D95:I96 D101:I102 D107:I108 D113:I114 D119:I120 D125:I126 D133:I134 D139:I140 D146:I147 D152:I153 D158:I159 D165:I166 D175:I176 D181:I182 D187:I188 D193:I194 D199:I200 D205:I206 D212:I212 D221:I221 D227:I227 D233:I233 D239:I239 D245:I245 D284:I284 D290:I290 D296:I296 D304:I304 D310:I310 D316:I316 D51:I52 D57:I58 D322:I322 D71:I72" name="assessor note"/>
    <protectedRange sqref="B23:B24 B28:B30 B34:B36 B40:B44 B48:B50 B79:B82 B85:B88 B97:B100 B103:B106 B109:B112 B115:B118 B121:B124 B127:B132 B135:B138 B148:B151 B154:B157 B167:B174 B177:B180 B183:B186 B189:B192 B195:B198 B201:B204 B207:B210 B213:B219 B222:B225 B228:B231 B234:B237 B240:B243 B285:B288 B291:B294 B297:B302 B305:B308 B311:B314 B59:B62 B53:B56 B323:B604 B317:B320 B65:B70 B73:B76 B141:B145 B160:B164 B91:B94 B16:B19 B246:B282" name="Range1"/>
    <protectedRange sqref="B4 B12 B6:E11 D12:H12" name="info"/>
  </protectedRanges>
  <mergeCells count="227">
    <mergeCell ref="K287:N291"/>
    <mergeCell ref="K293:N297"/>
    <mergeCell ref="K301:N305"/>
    <mergeCell ref="A321:B322"/>
    <mergeCell ref="A232:B233"/>
    <mergeCell ref="A238:B239"/>
    <mergeCell ref="A244:B245"/>
    <mergeCell ref="A283:B284"/>
    <mergeCell ref="A289:B290"/>
    <mergeCell ref="A295:B296"/>
    <mergeCell ref="A303:B304"/>
    <mergeCell ref="A309:B310"/>
    <mergeCell ref="A315:B316"/>
    <mergeCell ref="A258:I258"/>
    <mergeCell ref="D260:I260"/>
    <mergeCell ref="D261:I261"/>
    <mergeCell ref="K307:N311"/>
    <mergeCell ref="K313:N317"/>
    <mergeCell ref="K319:N323"/>
    <mergeCell ref="K266:N266"/>
    <mergeCell ref="K281:N285"/>
    <mergeCell ref="D265:I265"/>
    <mergeCell ref="D266:I266"/>
    <mergeCell ref="D316:I316"/>
    <mergeCell ref="D43:I44"/>
    <mergeCell ref="D46:I46"/>
    <mergeCell ref="D61:I62"/>
    <mergeCell ref="D64:I64"/>
    <mergeCell ref="A220:B221"/>
    <mergeCell ref="A226:B227"/>
    <mergeCell ref="D182:I182"/>
    <mergeCell ref="D185:I186"/>
    <mergeCell ref="D191:I192"/>
    <mergeCell ref="D197:I198"/>
    <mergeCell ref="D203:I204"/>
    <mergeCell ref="D194:I194"/>
    <mergeCell ref="D200:I200"/>
    <mergeCell ref="A175:B176"/>
    <mergeCell ref="A181:B182"/>
    <mergeCell ref="A187:B188"/>
    <mergeCell ref="A193:B194"/>
    <mergeCell ref="A199:B200"/>
    <mergeCell ref="A205:B206"/>
    <mergeCell ref="A211:B212"/>
    <mergeCell ref="D188:I188"/>
    <mergeCell ref="K150:N154"/>
    <mergeCell ref="K156:N160"/>
    <mergeCell ref="K274:N274"/>
    <mergeCell ref="K275:N275"/>
    <mergeCell ref="K276:N276"/>
    <mergeCell ref="K260:N260"/>
    <mergeCell ref="K263:N263"/>
    <mergeCell ref="K264:N264"/>
    <mergeCell ref="K265:N265"/>
    <mergeCell ref="K273:N273"/>
    <mergeCell ref="K197:N200"/>
    <mergeCell ref="K203:N206"/>
    <mergeCell ref="K209:N212"/>
    <mergeCell ref="D16:I18"/>
    <mergeCell ref="K250:O250"/>
    <mergeCell ref="K251:O251"/>
    <mergeCell ref="K252:O252"/>
    <mergeCell ref="K253:O253"/>
    <mergeCell ref="K254:O254"/>
    <mergeCell ref="K255:O255"/>
    <mergeCell ref="K256:O256"/>
    <mergeCell ref="K272:N272"/>
    <mergeCell ref="K218:N221"/>
    <mergeCell ref="K224:N227"/>
    <mergeCell ref="K230:N234"/>
    <mergeCell ref="K236:N240"/>
    <mergeCell ref="K242:N246"/>
    <mergeCell ref="K262:N262"/>
    <mergeCell ref="D239:I239"/>
    <mergeCell ref="D245:I245"/>
    <mergeCell ref="K267:N267"/>
    <mergeCell ref="K268:N268"/>
    <mergeCell ref="K269:N269"/>
    <mergeCell ref="K270:N270"/>
    <mergeCell ref="K271:N271"/>
    <mergeCell ref="K261:N261"/>
    <mergeCell ref="D58:I58"/>
    <mergeCell ref="A20:B20"/>
    <mergeCell ref="A26:B26"/>
    <mergeCell ref="A31:B32"/>
    <mergeCell ref="A37:B38"/>
    <mergeCell ref="A45:B46"/>
    <mergeCell ref="A51:B52"/>
    <mergeCell ref="A57:B58"/>
    <mergeCell ref="A63:B64"/>
    <mergeCell ref="K191:N194"/>
    <mergeCell ref="K131:N135"/>
    <mergeCell ref="K105:N109"/>
    <mergeCell ref="K163:N166"/>
    <mergeCell ref="K173:N176"/>
    <mergeCell ref="K179:N182"/>
    <mergeCell ref="K185:N188"/>
    <mergeCell ref="A119:B120"/>
    <mergeCell ref="A165:B166"/>
    <mergeCell ref="K144:N147"/>
    <mergeCell ref="A71:B72"/>
    <mergeCell ref="A77:B78"/>
    <mergeCell ref="A83:B84"/>
    <mergeCell ref="A89:B90"/>
    <mergeCell ref="A95:B96"/>
    <mergeCell ref="A101:B102"/>
    <mergeCell ref="D206:I206"/>
    <mergeCell ref="D212:I212"/>
    <mergeCell ref="D221:I221"/>
    <mergeCell ref="D227:I227"/>
    <mergeCell ref="D233:I233"/>
    <mergeCell ref="D272:I272"/>
    <mergeCell ref="D273:I273"/>
    <mergeCell ref="D264:I264"/>
    <mergeCell ref="D256:I256"/>
    <mergeCell ref="D236:I237"/>
    <mergeCell ref="A259:I259"/>
    <mergeCell ref="D209:I210"/>
    <mergeCell ref="D218:I219"/>
    <mergeCell ref="D224:I225"/>
    <mergeCell ref="D230:I231"/>
    <mergeCell ref="A107:B108"/>
    <mergeCell ref="A113:B114"/>
    <mergeCell ref="D176:I176"/>
    <mergeCell ref="D108:I108"/>
    <mergeCell ref="D173:I174"/>
    <mergeCell ref="D134:I134"/>
    <mergeCell ref="D144:I145"/>
    <mergeCell ref="D150:I151"/>
    <mergeCell ref="D140:I140"/>
    <mergeCell ref="A125:B126"/>
    <mergeCell ref="A133:B134"/>
    <mergeCell ref="A139:B140"/>
    <mergeCell ref="A146:B147"/>
    <mergeCell ref="A152:B153"/>
    <mergeCell ref="A158:B159"/>
    <mergeCell ref="D159:I159"/>
    <mergeCell ref="D163:I164"/>
    <mergeCell ref="D304:I304"/>
    <mergeCell ref="D310:I310"/>
    <mergeCell ref="D301:I302"/>
    <mergeCell ref="D307:I308"/>
    <mergeCell ref="D262:I262"/>
    <mergeCell ref="D263:I263"/>
    <mergeCell ref="D242:I243"/>
    <mergeCell ref="D250:I250"/>
    <mergeCell ref="D251:I251"/>
    <mergeCell ref="D274:I274"/>
    <mergeCell ref="D269:I269"/>
    <mergeCell ref="D270:I270"/>
    <mergeCell ref="D271:I271"/>
    <mergeCell ref="D252:I252"/>
    <mergeCell ref="D253:I253"/>
    <mergeCell ref="D267:I267"/>
    <mergeCell ref="D268:I268"/>
    <mergeCell ref="D254:I254"/>
    <mergeCell ref="D255:I255"/>
    <mergeCell ref="D284:I284"/>
    <mergeCell ref="D290:I290"/>
    <mergeCell ref="D296:I296"/>
    <mergeCell ref="D293:I294"/>
    <mergeCell ref="D276:I276"/>
    <mergeCell ref="B4:H4"/>
    <mergeCell ref="B8:E8"/>
    <mergeCell ref="B10:E10"/>
    <mergeCell ref="D81:I82"/>
    <mergeCell ref="D87:I88"/>
    <mergeCell ref="D93:I94"/>
    <mergeCell ref="D99:I100"/>
    <mergeCell ref="D105:I106"/>
    <mergeCell ref="D78:I78"/>
    <mergeCell ref="D84:I84"/>
    <mergeCell ref="D90:I90"/>
    <mergeCell ref="D96:I96"/>
    <mergeCell ref="D102:I102"/>
    <mergeCell ref="B6:E6"/>
    <mergeCell ref="D12:H12"/>
    <mergeCell ref="D49:I50"/>
    <mergeCell ref="D52:I52"/>
    <mergeCell ref="D23:I24"/>
    <mergeCell ref="D29:I30"/>
    <mergeCell ref="D35:I36"/>
    <mergeCell ref="D75:I76"/>
    <mergeCell ref="D20:I20"/>
    <mergeCell ref="D55:I56"/>
    <mergeCell ref="D319:I320"/>
    <mergeCell ref="D322:I322"/>
    <mergeCell ref="D69:I70"/>
    <mergeCell ref="D72:I72"/>
    <mergeCell ref="D26:I26"/>
    <mergeCell ref="D32:I32"/>
    <mergeCell ref="D38:I38"/>
    <mergeCell ref="D114:I114"/>
    <mergeCell ref="D120:I120"/>
    <mergeCell ref="D179:I180"/>
    <mergeCell ref="D166:I166"/>
    <mergeCell ref="D156:I157"/>
    <mergeCell ref="D111:I112"/>
    <mergeCell ref="D117:I118"/>
    <mergeCell ref="D123:I124"/>
    <mergeCell ref="D131:I132"/>
    <mergeCell ref="D137:I138"/>
    <mergeCell ref="D147:I147"/>
    <mergeCell ref="D153:I153"/>
    <mergeCell ref="D126:I126"/>
    <mergeCell ref="D313:I314"/>
    <mergeCell ref="D275:I275"/>
    <mergeCell ref="D281:I282"/>
    <mergeCell ref="D287:I288"/>
    <mergeCell ref="K81:N85"/>
    <mergeCell ref="K87:N91"/>
    <mergeCell ref="K93:N97"/>
    <mergeCell ref="K99:N103"/>
    <mergeCell ref="K111:N115"/>
    <mergeCell ref="K117:N121"/>
    <mergeCell ref="K123:N128"/>
    <mergeCell ref="K137:N141"/>
    <mergeCell ref="K16:N20"/>
    <mergeCell ref="K23:N26"/>
    <mergeCell ref="K29:N32"/>
    <mergeCell ref="K35:N38"/>
    <mergeCell ref="K43:N47"/>
    <mergeCell ref="K49:N53"/>
    <mergeCell ref="K55:N59"/>
    <mergeCell ref="K61:N66"/>
    <mergeCell ref="K69:N73"/>
    <mergeCell ref="K75:N79"/>
  </mergeCells>
  <conditionalFormatting sqref="B16:B19">
    <cfRule type="expression" dxfId="522" priority="3">
      <formula>$J$16&gt;1</formula>
    </cfRule>
  </conditionalFormatting>
  <conditionalFormatting sqref="B23">
    <cfRule type="expression" dxfId="521" priority="376">
      <formula>AND(B23=TRUE,B24=TRUE)</formula>
    </cfRule>
  </conditionalFormatting>
  <conditionalFormatting sqref="B24">
    <cfRule type="expression" dxfId="520" priority="377">
      <formula>AND(B23=TRUE,B24=TRUE)</formula>
    </cfRule>
  </conditionalFormatting>
  <conditionalFormatting sqref="B29">
    <cfRule type="expression" dxfId="519" priority="374">
      <formula>AND(B29=TRUE,B30=TRUE)</formula>
    </cfRule>
  </conditionalFormatting>
  <conditionalFormatting sqref="B30">
    <cfRule type="expression" dxfId="518" priority="136">
      <formula>AND(B29=TRUE,B30=TRUE)</formula>
    </cfRule>
  </conditionalFormatting>
  <conditionalFormatting sqref="B35">
    <cfRule type="expression" dxfId="517" priority="372">
      <formula>AND(B35=TRUE,B36=TRUE)</formula>
    </cfRule>
  </conditionalFormatting>
  <conditionalFormatting sqref="B36">
    <cfRule type="expression" dxfId="516" priority="134">
      <formula>AND(B35=TRUE,B36=TRUE)</formula>
    </cfRule>
  </conditionalFormatting>
  <conditionalFormatting sqref="B43">
    <cfRule type="expression" dxfId="515" priority="191">
      <formula>AND(B43=TRUE,B44=TRUE)</formula>
    </cfRule>
  </conditionalFormatting>
  <conditionalFormatting sqref="B44">
    <cfRule type="expression" dxfId="514" priority="132">
      <formula>AND(B43=TRUE,B44=TRUE)</formula>
    </cfRule>
  </conditionalFormatting>
  <conditionalFormatting sqref="B49">
    <cfRule type="expression" dxfId="513" priority="139">
      <formula>AND(B49=TRUE,B50=TRUE)</formula>
    </cfRule>
  </conditionalFormatting>
  <conditionalFormatting sqref="B50">
    <cfRule type="expression" dxfId="512" priority="130">
      <formula>AND(B49=TRUE,B50=TRUE)</formula>
    </cfRule>
  </conditionalFormatting>
  <conditionalFormatting sqref="B55">
    <cfRule type="expression" dxfId="511" priority="63">
      <formula>AND(B55=TRUE,B56=TRUE)</formula>
    </cfRule>
  </conditionalFormatting>
  <conditionalFormatting sqref="B56">
    <cfRule type="expression" dxfId="510" priority="58">
      <formula>AND(B55=TRUE,B56=TRUE)</formula>
    </cfRule>
  </conditionalFormatting>
  <conditionalFormatting sqref="B61">
    <cfRule type="expression" dxfId="509" priority="186">
      <formula>AND(B61=TRUE,B62=TRUE)</formula>
    </cfRule>
  </conditionalFormatting>
  <conditionalFormatting sqref="B62">
    <cfRule type="expression" dxfId="508" priority="128">
      <formula>AND(B61=TRUE,B62=TRUE)</formula>
    </cfRule>
  </conditionalFormatting>
  <conditionalFormatting sqref="B69">
    <cfRule type="expression" dxfId="507" priority="11">
      <formula>AND(B69=TRUE,B70=TRUE)</formula>
    </cfRule>
  </conditionalFormatting>
  <conditionalFormatting sqref="B70">
    <cfRule type="expression" dxfId="506" priority="12">
      <formula>AND(B69=TRUE,B70=TRUE)</formula>
    </cfRule>
  </conditionalFormatting>
  <conditionalFormatting sqref="B75">
    <cfRule type="expression" dxfId="505" priority="370">
      <formula>AND(B75=TRUE,B76=TRUE)</formula>
    </cfRule>
  </conditionalFormatting>
  <conditionalFormatting sqref="B76">
    <cfRule type="expression" dxfId="504" priority="371">
      <formula>AND(B75=TRUE,B76=TRUE)</formula>
    </cfRule>
  </conditionalFormatting>
  <conditionalFormatting sqref="B81">
    <cfRule type="expression" dxfId="503" priority="368">
      <formula>AND(B81=TRUE,B82=TRUE)</formula>
    </cfRule>
  </conditionalFormatting>
  <conditionalFormatting sqref="B82">
    <cfRule type="expression" dxfId="502" priority="127">
      <formula>AND(B81=TRUE,B82=TRUE)</formula>
    </cfRule>
  </conditionalFormatting>
  <conditionalFormatting sqref="B87">
    <cfRule type="expression" dxfId="501" priority="366">
      <formula>AND(B87=TRUE,B88=TRUE)</formula>
    </cfRule>
  </conditionalFormatting>
  <conditionalFormatting sqref="B88">
    <cfRule type="expression" dxfId="500" priority="125">
      <formula>AND(B87=TRUE,B88=TRUE)</formula>
    </cfRule>
  </conditionalFormatting>
  <conditionalFormatting sqref="B93">
    <cfRule type="expression" dxfId="499" priority="364">
      <formula>AND(B93=TRUE,B94=TRUE)</formula>
    </cfRule>
  </conditionalFormatting>
  <conditionalFormatting sqref="B94">
    <cfRule type="expression" dxfId="498" priority="123">
      <formula>AND(B93=TRUE,B94=TRUE)</formula>
    </cfRule>
  </conditionalFormatting>
  <conditionalFormatting sqref="B99">
    <cfRule type="expression" dxfId="497" priority="362">
      <formula>AND(B99=TRUE,B100=TRUE)</formula>
    </cfRule>
  </conditionalFormatting>
  <conditionalFormatting sqref="B100">
    <cfRule type="expression" dxfId="496" priority="121">
      <formula>AND(B99=TRUE,B100=TRUE)</formula>
    </cfRule>
  </conditionalFormatting>
  <conditionalFormatting sqref="B105">
    <cfRule type="expression" dxfId="495" priority="360">
      <formula>AND(B105=TRUE,B106=TRUE)</formula>
    </cfRule>
  </conditionalFormatting>
  <conditionalFormatting sqref="B106">
    <cfRule type="expression" dxfId="494" priority="119">
      <formula>AND(B105=TRUE,B106=TRUE)</formula>
    </cfRule>
  </conditionalFormatting>
  <conditionalFormatting sqref="B111">
    <cfRule type="expression" dxfId="493" priority="358">
      <formula>AND(B111=TRUE,B112=TRUE)</formula>
    </cfRule>
  </conditionalFormatting>
  <conditionalFormatting sqref="B112">
    <cfRule type="expression" dxfId="492" priority="117">
      <formula>AND(B111=TRUE,B112=TRUE)</formula>
    </cfRule>
  </conditionalFormatting>
  <conditionalFormatting sqref="B117">
    <cfRule type="expression" dxfId="491" priority="356">
      <formula>AND(B117=TRUE,B118=TRUE)</formula>
    </cfRule>
  </conditionalFormatting>
  <conditionalFormatting sqref="B118">
    <cfRule type="expression" dxfId="490" priority="115">
      <formula>AND(B117=TRUE,B118=TRUE)</formula>
    </cfRule>
  </conditionalFormatting>
  <conditionalFormatting sqref="B123">
    <cfRule type="expression" dxfId="489" priority="354">
      <formula>AND(B123=TRUE,B124=TRUE)</formula>
    </cfRule>
  </conditionalFormatting>
  <conditionalFormatting sqref="B124">
    <cfRule type="expression" dxfId="488" priority="113">
      <formula>AND(B123=TRUE,B124=TRUE)</formula>
    </cfRule>
  </conditionalFormatting>
  <conditionalFormatting sqref="B127">
    <cfRule type="expression" dxfId="487" priority="379">
      <formula>AND(B124=TRUE,B127=TRUE)</formula>
    </cfRule>
  </conditionalFormatting>
  <conditionalFormatting sqref="B131">
    <cfRule type="expression" dxfId="486" priority="352">
      <formula>AND(B131=TRUE,B132=TRUE)</formula>
    </cfRule>
  </conditionalFormatting>
  <conditionalFormatting sqref="B132">
    <cfRule type="expression" dxfId="485" priority="111">
      <formula>AND(B131=TRUE,B132=TRUE)</formula>
    </cfRule>
  </conditionalFormatting>
  <conditionalFormatting sqref="B137">
    <cfRule type="expression" dxfId="484" priority="350">
      <formula>AND(B137=TRUE,B138=TRUE)</formula>
    </cfRule>
  </conditionalFormatting>
  <conditionalFormatting sqref="B138">
    <cfRule type="expression" dxfId="483" priority="109">
      <formula>AND(B137=TRUE,B138=TRUE)</formula>
    </cfRule>
  </conditionalFormatting>
  <conditionalFormatting sqref="B144">
    <cfRule type="expression" dxfId="482" priority="348">
      <formula>AND(B144=TRUE,B145=TRUE)</formula>
    </cfRule>
  </conditionalFormatting>
  <conditionalFormatting sqref="B145">
    <cfRule type="expression" dxfId="481" priority="107">
      <formula>AND(B144=TRUE,B145=TRUE)</formula>
    </cfRule>
  </conditionalFormatting>
  <conditionalFormatting sqref="B150">
    <cfRule type="expression" dxfId="480" priority="346">
      <formula>AND(B150=TRUE,B151=TRUE)</formula>
    </cfRule>
  </conditionalFormatting>
  <conditionalFormatting sqref="B151">
    <cfRule type="expression" dxfId="479" priority="105">
      <formula>AND(B150=TRUE,B151=TRUE)</formula>
    </cfRule>
  </conditionalFormatting>
  <conditionalFormatting sqref="B156">
    <cfRule type="expression" dxfId="478" priority="344">
      <formula>AND(B156=TRUE,B157=TRUE)</formula>
    </cfRule>
  </conditionalFormatting>
  <conditionalFormatting sqref="B157">
    <cfRule type="expression" dxfId="477" priority="103">
      <formula>AND(B156=TRUE,B157=TRUE)</formula>
    </cfRule>
  </conditionalFormatting>
  <conditionalFormatting sqref="B163">
    <cfRule type="expression" dxfId="476" priority="342">
      <formula>AND(B163=TRUE,B164=TRUE)</formula>
    </cfRule>
  </conditionalFormatting>
  <conditionalFormatting sqref="B164">
    <cfRule type="expression" dxfId="475" priority="101">
      <formula>AND(B163=TRUE,B164=TRUE)</formula>
    </cfRule>
  </conditionalFormatting>
  <conditionalFormatting sqref="B173">
    <cfRule type="expression" dxfId="474" priority="340">
      <formula>AND(B173=TRUE,B174=TRUE)</formula>
    </cfRule>
  </conditionalFormatting>
  <conditionalFormatting sqref="B174">
    <cfRule type="expression" dxfId="473" priority="99">
      <formula>AND(B173=TRUE,B174=TRUE)</formula>
    </cfRule>
  </conditionalFormatting>
  <conditionalFormatting sqref="B179">
    <cfRule type="expression" dxfId="472" priority="338">
      <formula>AND(B179=TRUE,B180=TRUE)</formula>
    </cfRule>
  </conditionalFormatting>
  <conditionalFormatting sqref="B180">
    <cfRule type="expression" dxfId="471" priority="97">
      <formula>AND(B179=TRUE,B180=TRUE)</formula>
    </cfRule>
  </conditionalFormatting>
  <conditionalFormatting sqref="B185">
    <cfRule type="expression" dxfId="470" priority="336">
      <formula>AND(B185=TRUE,B186=TRUE)</formula>
    </cfRule>
  </conditionalFormatting>
  <conditionalFormatting sqref="B186">
    <cfRule type="expression" dxfId="469" priority="95">
      <formula>AND(B185=TRUE,B186=TRUE)</formula>
    </cfRule>
  </conditionalFormatting>
  <conditionalFormatting sqref="B191">
    <cfRule type="expression" dxfId="468" priority="334">
      <formula>AND(B191=TRUE,B192=TRUE)</formula>
    </cfRule>
  </conditionalFormatting>
  <conditionalFormatting sqref="B192">
    <cfRule type="expression" dxfId="467" priority="93">
      <formula>AND(B191=TRUE,B192=TRUE)</formula>
    </cfRule>
  </conditionalFormatting>
  <conditionalFormatting sqref="B197">
    <cfRule type="expression" dxfId="466" priority="332">
      <formula>AND(B197=TRUE,B198=TRUE)</formula>
    </cfRule>
  </conditionalFormatting>
  <conditionalFormatting sqref="B198">
    <cfRule type="expression" dxfId="465" priority="91">
      <formula>AND(B197=TRUE,B198=TRUE)</formula>
    </cfRule>
  </conditionalFormatting>
  <conditionalFormatting sqref="B203">
    <cfRule type="expression" dxfId="464" priority="330">
      <formula>AND(B203=TRUE,B204=TRUE)</formula>
    </cfRule>
  </conditionalFormatting>
  <conditionalFormatting sqref="B204">
    <cfRule type="expression" dxfId="463" priority="89">
      <formula>AND(B203=TRUE,B204=TRUE)</formula>
    </cfRule>
  </conditionalFormatting>
  <conditionalFormatting sqref="B209">
    <cfRule type="expression" dxfId="462" priority="328">
      <formula>AND(B209=TRUE,B210=TRUE)</formula>
    </cfRule>
  </conditionalFormatting>
  <conditionalFormatting sqref="B210">
    <cfRule type="expression" dxfId="461" priority="87">
      <formula>AND(B209=TRUE,B210=TRUE)</formula>
    </cfRule>
  </conditionalFormatting>
  <conditionalFormatting sqref="B218">
    <cfRule type="expression" dxfId="460" priority="326">
      <formula>AND(B218=TRUE,B219=TRUE)</formula>
    </cfRule>
  </conditionalFormatting>
  <conditionalFormatting sqref="B219">
    <cfRule type="expression" dxfId="459" priority="85">
      <formula>AND(B218=TRUE,B219=TRUE)</formula>
    </cfRule>
  </conditionalFormatting>
  <conditionalFormatting sqref="B224">
    <cfRule type="expression" dxfId="458" priority="324">
      <formula>AND(B224=TRUE,B225=TRUE)</formula>
    </cfRule>
  </conditionalFormatting>
  <conditionalFormatting sqref="B225">
    <cfRule type="expression" dxfId="457" priority="83">
      <formula>AND(B224=TRUE,B225=TRUE)</formula>
    </cfRule>
  </conditionalFormatting>
  <conditionalFormatting sqref="B230">
    <cfRule type="expression" dxfId="456" priority="322">
      <formula>AND(B230=TRUE,B231=TRUE)</formula>
    </cfRule>
  </conditionalFormatting>
  <conditionalFormatting sqref="B231">
    <cfRule type="expression" dxfId="455" priority="81">
      <formula>AND(B230=TRUE,B231=TRUE)</formula>
    </cfRule>
  </conditionalFormatting>
  <conditionalFormatting sqref="B236">
    <cfRule type="expression" dxfId="454" priority="320">
      <formula>AND(B236=TRUE,B237=TRUE)</formula>
    </cfRule>
  </conditionalFormatting>
  <conditionalFormatting sqref="B237">
    <cfRule type="expression" dxfId="453" priority="79">
      <formula>AND(B236=TRUE,B237=TRUE)</formula>
    </cfRule>
  </conditionalFormatting>
  <conditionalFormatting sqref="B242">
    <cfRule type="expression" dxfId="452" priority="318">
      <formula>AND(B242=TRUE,B243=TRUE)</formula>
    </cfRule>
  </conditionalFormatting>
  <conditionalFormatting sqref="B243">
    <cfRule type="expression" dxfId="451" priority="77">
      <formula>AND(B242=TRUE,B243=TRUE)</formula>
    </cfRule>
  </conditionalFormatting>
  <conditionalFormatting sqref="B281">
    <cfRule type="expression" dxfId="450" priority="316">
      <formula>AND(B281=TRUE,B282=TRUE)</formula>
    </cfRule>
  </conditionalFormatting>
  <conditionalFormatting sqref="B282">
    <cfRule type="expression" dxfId="449" priority="75">
      <formula>AND(B281=TRUE,B282=TRUE)</formula>
    </cfRule>
  </conditionalFormatting>
  <conditionalFormatting sqref="B287">
    <cfRule type="expression" dxfId="448" priority="314">
      <formula>AND(B287=TRUE,B288=TRUE)</formula>
    </cfRule>
  </conditionalFormatting>
  <conditionalFormatting sqref="B288">
    <cfRule type="expression" dxfId="447" priority="73">
      <formula>AND(B287=TRUE,B288=TRUE)</formula>
    </cfRule>
  </conditionalFormatting>
  <conditionalFormatting sqref="B293">
    <cfRule type="expression" dxfId="446" priority="312">
      <formula>AND(B293=TRUE,B294=TRUE)</formula>
    </cfRule>
  </conditionalFormatting>
  <conditionalFormatting sqref="B294">
    <cfRule type="expression" dxfId="445" priority="71">
      <formula>AND(B293=TRUE,B294=TRUE)</formula>
    </cfRule>
  </conditionalFormatting>
  <conditionalFormatting sqref="B301">
    <cfRule type="expression" dxfId="444" priority="310">
      <formula>AND(B301=TRUE,B302=TRUE)</formula>
    </cfRule>
  </conditionalFormatting>
  <conditionalFormatting sqref="B302">
    <cfRule type="expression" dxfId="443" priority="69">
      <formula>AND(B301=TRUE,B302=TRUE)</formula>
    </cfRule>
  </conditionalFormatting>
  <conditionalFormatting sqref="B307">
    <cfRule type="expression" dxfId="442" priority="308">
      <formula>AND(B307=TRUE,B308=TRUE)</formula>
    </cfRule>
  </conditionalFormatting>
  <conditionalFormatting sqref="B308">
    <cfRule type="expression" dxfId="441" priority="67">
      <formula>AND(B307=TRUE,B308=TRUE)</formula>
    </cfRule>
  </conditionalFormatting>
  <conditionalFormatting sqref="B313">
    <cfRule type="expression" dxfId="440" priority="306">
      <formula>AND(B313=TRUE,B314=TRUE)</formula>
    </cfRule>
  </conditionalFormatting>
  <conditionalFormatting sqref="B314">
    <cfRule type="expression" dxfId="439" priority="65">
      <formula>AND(B313=TRUE,B314=TRUE)</formula>
    </cfRule>
  </conditionalFormatting>
  <conditionalFormatting sqref="B319">
    <cfRule type="expression" dxfId="438" priority="17">
      <formula>AND(B319=TRUE,B320=TRUE)</formula>
    </cfRule>
  </conditionalFormatting>
  <conditionalFormatting sqref="B320">
    <cfRule type="expression" dxfId="437" priority="15">
      <formula>AND(B319=TRUE,B320=TRUE)</formula>
    </cfRule>
  </conditionalFormatting>
  <conditionalFormatting sqref="D16">
    <cfRule type="expression" dxfId="436" priority="305">
      <formula>AND(D16=TRUE,D17=TRUE)</formula>
    </cfRule>
  </conditionalFormatting>
  <conditionalFormatting sqref="D23">
    <cfRule type="expression" dxfId="435" priority="304">
      <formula>B23=TRUE</formula>
    </cfRule>
  </conditionalFormatting>
  <conditionalFormatting sqref="D16:I18">
    <cfRule type="containsText" dxfId="434" priority="259" operator="containsText" text="Please choose the most accurate number of workers at workplace.">
      <formula>NOT(ISERROR(SEARCH("Please choose the most accurate number of workers at workplace.",D16)))</formula>
    </cfRule>
  </conditionalFormatting>
  <conditionalFormatting sqref="D20:I20">
    <cfRule type="containsText" dxfId="433" priority="182" operator="containsText" text="Assessor Note (if applicable):">
      <formula>NOT(ISERROR(SEARCH("Assessor Note (if applicable):",D20)))</formula>
    </cfRule>
  </conditionalFormatting>
  <conditionalFormatting sqref="D23:I24">
    <cfRule type="containsText" dxfId="432" priority="260" operator="containsText" text="Please select either “Yes” or “No.” Only one option may be selected.">
      <formula>NOT(ISERROR(SEARCH("Please select either “Yes” or “No.” Only one option may be selected.",D23)))</formula>
    </cfRule>
  </conditionalFormatting>
  <conditionalFormatting sqref="D26:I26">
    <cfRule type="containsText" dxfId="431" priority="181" operator="containsText" text="Assessor Note (if applicable):">
      <formula>NOT(ISERROR(SEARCH("Assessor Note (if applicable):",D26)))</formula>
    </cfRule>
  </conditionalFormatting>
  <conditionalFormatting sqref="D29:I30">
    <cfRule type="expression" dxfId="430" priority="56">
      <formula>B29=TRUE</formula>
    </cfRule>
    <cfRule type="containsText" dxfId="429" priority="261" operator="containsText" text="Please select either “Yes” or “No.” Only one option may be selected.">
      <formula>NOT(ISERROR(SEARCH("Please select either “Yes” or “No.” Only one option may be selected.",D29)))</formula>
    </cfRule>
  </conditionalFormatting>
  <conditionalFormatting sqref="D32:I32">
    <cfRule type="containsText" dxfId="428" priority="180" operator="containsText" text="Assessor Note (if applicable):">
      <formula>NOT(ISERROR(SEARCH("Assessor Note (if applicable):",D32)))</formula>
    </cfRule>
  </conditionalFormatting>
  <conditionalFormatting sqref="D35:I36">
    <cfRule type="expression" dxfId="427" priority="55">
      <formula>B35=TRUE</formula>
    </cfRule>
    <cfRule type="containsText" dxfId="426" priority="135" operator="containsText" text="Please select either “Yes” or “No.” Only one option may be selected.">
      <formula>NOT(ISERROR(SEARCH("Please select either “Yes” or “No.” Only one option may be selected.",D35)))</formula>
    </cfRule>
  </conditionalFormatting>
  <conditionalFormatting sqref="D38:I38">
    <cfRule type="containsText" dxfId="425" priority="179" operator="containsText" text="Assessor Note (if applicable):">
      <formula>NOT(ISERROR(SEARCH("Assessor Note (if applicable):",D38)))</formula>
    </cfRule>
  </conditionalFormatting>
  <conditionalFormatting sqref="D43:I44">
    <cfRule type="expression" dxfId="424" priority="54">
      <formula>B43=TRUE</formula>
    </cfRule>
    <cfRule type="containsText" dxfId="423" priority="133" operator="containsText" text="Please select either “Yes” or “No.” Only one option may be selected.">
      <formula>NOT(ISERROR(SEARCH("Please select either “Yes” or “No.” Only one option may be selected.",D43)))</formula>
    </cfRule>
  </conditionalFormatting>
  <conditionalFormatting sqref="D46:I47 D52:I52">
    <cfRule type="containsText" dxfId="422" priority="178" operator="containsText" text="Assessor Note (if applicable):">
      <formula>NOT(ISERROR(SEARCH("Assessor Note (if applicable):",D46)))</formula>
    </cfRule>
  </conditionalFormatting>
  <conditionalFormatting sqref="D49:I50">
    <cfRule type="expression" dxfId="421" priority="53">
      <formula>B49=TRUE</formula>
    </cfRule>
    <cfRule type="containsText" dxfId="420" priority="131" operator="containsText" text="Please select either “Yes” or “No.” Only one option may be selected.">
      <formula>NOT(ISERROR(SEARCH("Please select either “Yes” or “No.” Only one option may be selected.",D49)))</formula>
    </cfRule>
  </conditionalFormatting>
  <conditionalFormatting sqref="D55:I56">
    <cfRule type="expression" dxfId="419" priority="52">
      <formula>B55=TRUE</formula>
    </cfRule>
    <cfRule type="containsText" dxfId="418" priority="59" operator="containsText" text="Please select either “Yes” or “No.” Only one option may be selected.">
      <formula>NOT(ISERROR(SEARCH("Please select either “Yes” or “No.” Only one option may be selected.",D55)))</formula>
    </cfRule>
  </conditionalFormatting>
  <conditionalFormatting sqref="D58:I58">
    <cfRule type="containsText" dxfId="417" priority="60" operator="containsText" text="Assessor Note (if applicable):">
      <formula>NOT(ISERROR(SEARCH("Assessor Note (if applicable):",D58)))</formula>
    </cfRule>
  </conditionalFormatting>
  <conditionalFormatting sqref="D61:I62">
    <cfRule type="expression" dxfId="416" priority="51">
      <formula>B61=TRUE</formula>
    </cfRule>
    <cfRule type="containsText" dxfId="415" priority="129" operator="containsText" text="Please select either “Yes” or “No.” Only one option may be selected.">
      <formula>NOT(ISERROR(SEARCH("Please select either “Yes” or “No.” Only one option may be selected.",D61)))</formula>
    </cfRule>
  </conditionalFormatting>
  <conditionalFormatting sqref="D64:I64">
    <cfRule type="containsText" dxfId="414" priority="177" operator="containsText" text="Assessor Note (if applicable):">
      <formula>NOT(ISERROR(SEARCH("Assessor Note (if applicable):",D64)))</formula>
    </cfRule>
  </conditionalFormatting>
  <conditionalFormatting sqref="D69:I70">
    <cfRule type="expression" dxfId="413" priority="8">
      <formula>B69=TRUE</formula>
    </cfRule>
    <cfRule type="containsText" dxfId="412" priority="10" operator="containsText" text="Please select either “Yes” or “No.” Only one option may be selected.">
      <formula>NOT(ISERROR(SEARCH("Please select either “Yes” or “No.” Only one option may be selected.",D69)))</formula>
    </cfRule>
  </conditionalFormatting>
  <conditionalFormatting sqref="D72:I72">
    <cfRule type="containsText" dxfId="411" priority="9" operator="containsText" text="Assessor Note (if applicable):">
      <formula>NOT(ISERROR(SEARCH("Assessor Note (if applicable):",D72)))</formula>
    </cfRule>
  </conditionalFormatting>
  <conditionalFormatting sqref="D75:I76">
    <cfRule type="expression" dxfId="410" priority="50">
      <formula>B75=TRUE</formula>
    </cfRule>
    <cfRule type="containsText" dxfId="409" priority="225" operator="containsText" text="Please select either “Yes” or “No.” Only one option may be selected.">
      <formula>NOT(ISERROR(SEARCH("Please select either “Yes” or “No.” Only one option may be selected.",D75)))</formula>
    </cfRule>
  </conditionalFormatting>
  <conditionalFormatting sqref="D78:I78">
    <cfRule type="containsText" dxfId="408" priority="176" operator="containsText" text="Assessor Note (if applicable):">
      <formula>NOT(ISERROR(SEARCH("Assessor Note (if applicable):",D78)))</formula>
    </cfRule>
  </conditionalFormatting>
  <conditionalFormatting sqref="D81:I82">
    <cfRule type="expression" dxfId="407" priority="49">
      <formula>B81=TRUE</formula>
    </cfRule>
    <cfRule type="containsText" dxfId="406" priority="126" operator="containsText" text="Please select either “Yes” or “No.” Only one option may be selected.">
      <formula>NOT(ISERROR(SEARCH("Please select either “Yes” or “No.” Only one option may be selected.",D81)))</formula>
    </cfRule>
  </conditionalFormatting>
  <conditionalFormatting sqref="D84:I84">
    <cfRule type="containsText" dxfId="405" priority="175" operator="containsText" text="Assessor Note (if applicable):">
      <formula>NOT(ISERROR(SEARCH("Assessor Note (if applicable):",D84)))</formula>
    </cfRule>
  </conditionalFormatting>
  <conditionalFormatting sqref="D87:I88">
    <cfRule type="expression" dxfId="404" priority="48">
      <formula>$B$87</formula>
    </cfRule>
    <cfRule type="containsText" dxfId="403" priority="124" operator="containsText" text="Please select either “Yes” or “No.” Only one option may be selected.">
      <formula>NOT(ISERROR(SEARCH("Please select either “Yes” or “No.” Only one option may be selected.",D87)))</formula>
    </cfRule>
  </conditionalFormatting>
  <conditionalFormatting sqref="D90:I90">
    <cfRule type="containsText" dxfId="402" priority="174" operator="containsText" text="Assessor Note (if applicable):">
      <formula>NOT(ISERROR(SEARCH("Assessor Note (if applicable):",D90)))</formula>
    </cfRule>
  </conditionalFormatting>
  <conditionalFormatting sqref="D93:I94">
    <cfRule type="expression" dxfId="401" priority="47">
      <formula>$B$93=TRUE</formula>
    </cfRule>
    <cfRule type="containsText" dxfId="400" priority="122" operator="containsText" text="Please select either “Yes” or “No.” Only one option may be selected.">
      <formula>NOT(ISERROR(SEARCH("Please select either “Yes” or “No.” Only one option may be selected.",D93)))</formula>
    </cfRule>
  </conditionalFormatting>
  <conditionalFormatting sqref="D96:I96">
    <cfRule type="containsText" dxfId="399" priority="173" operator="containsText" text="Assessor Note (if applicable):">
      <formula>NOT(ISERROR(SEARCH("Assessor Note (if applicable):",D96)))</formula>
    </cfRule>
  </conditionalFormatting>
  <conditionalFormatting sqref="D99:I100">
    <cfRule type="expression" dxfId="398" priority="46">
      <formula>$B$99=TRUE</formula>
    </cfRule>
    <cfRule type="containsText" dxfId="397" priority="120" operator="containsText" text="Please select either “Yes” or “No.” Only one option may be selected.">
      <formula>NOT(ISERROR(SEARCH("Please select either “Yes” or “No.” Only one option may be selected.",D99)))</formula>
    </cfRule>
  </conditionalFormatting>
  <conditionalFormatting sqref="D102:I102">
    <cfRule type="containsText" dxfId="396" priority="172" operator="containsText" text="Assessor Note (if applicable):">
      <formula>NOT(ISERROR(SEARCH("Assessor Note (if applicable):",D102)))</formula>
    </cfRule>
  </conditionalFormatting>
  <conditionalFormatting sqref="D105:I106">
    <cfRule type="expression" dxfId="395" priority="45">
      <formula>$B$105=TRUE</formula>
    </cfRule>
    <cfRule type="containsText" dxfId="394" priority="118" operator="containsText" text="Please select either “Yes” or “No.” Only one option may be selected.">
      <formula>NOT(ISERROR(SEARCH("Please select either “Yes” or “No.” Only one option may be selected.",D105)))</formula>
    </cfRule>
  </conditionalFormatting>
  <conditionalFormatting sqref="D108:I108">
    <cfRule type="containsText" dxfId="393" priority="171" operator="containsText" text="Assessor Note (if applicable):">
      <formula>NOT(ISERROR(SEARCH("Assessor Note (if applicable):",D108)))</formula>
    </cfRule>
  </conditionalFormatting>
  <conditionalFormatting sqref="D111:I112">
    <cfRule type="expression" dxfId="392" priority="44">
      <formula>$B$111=TRUE</formula>
    </cfRule>
    <cfRule type="containsText" dxfId="391" priority="116" operator="containsText" text="Please select either “Yes” or “No.” Only one option may be selected.">
      <formula>NOT(ISERROR(SEARCH("Please select either “Yes” or “No.” Only one option may be selected.",D111)))</formula>
    </cfRule>
  </conditionalFormatting>
  <conditionalFormatting sqref="D114:I114">
    <cfRule type="containsText" dxfId="390" priority="170" operator="containsText" text="Assessor Note (if applicable):">
      <formula>NOT(ISERROR(SEARCH("Assessor Note (if applicable):",D114)))</formula>
    </cfRule>
  </conditionalFormatting>
  <conditionalFormatting sqref="D117:I118">
    <cfRule type="expression" dxfId="389" priority="43">
      <formula>$B$117=TRUE</formula>
    </cfRule>
    <cfRule type="containsText" dxfId="388" priority="114" operator="containsText" text="Please select either “Yes” or “No.” Only one option may be selected.">
      <formula>NOT(ISERROR(SEARCH("Please select either “Yes” or “No.” Only one option may be selected.",D117)))</formula>
    </cfRule>
  </conditionalFormatting>
  <conditionalFormatting sqref="D120:I120">
    <cfRule type="containsText" dxfId="387" priority="169" operator="containsText" text="Assessor Note (if applicable):">
      <formula>NOT(ISERROR(SEARCH("Assessor Note (if applicable):",D120)))</formula>
    </cfRule>
  </conditionalFormatting>
  <conditionalFormatting sqref="D123:I124">
    <cfRule type="expression" dxfId="386" priority="42">
      <formula>$B$123=TRUE</formula>
    </cfRule>
    <cfRule type="containsText" dxfId="385" priority="112" operator="containsText" text="Please select either “Yes” or “No.” Only one option may be selected.">
      <formula>NOT(ISERROR(SEARCH("Please select either “Yes” or “No.” Only one option may be selected.",D123)))</formula>
    </cfRule>
  </conditionalFormatting>
  <conditionalFormatting sqref="D126:I126">
    <cfRule type="containsText" dxfId="384" priority="168" operator="containsText" text="Assessor Note (if applicable):">
      <formula>NOT(ISERROR(SEARCH("Assessor Note (if applicable):",D126)))</formula>
    </cfRule>
  </conditionalFormatting>
  <conditionalFormatting sqref="D131:I132">
    <cfRule type="expression" dxfId="383" priority="41">
      <formula>$B$131=TRUE</formula>
    </cfRule>
    <cfRule type="containsText" dxfId="382" priority="110" operator="containsText" text="Please select either “Yes” or “No.” Only one option may be selected.">
      <formula>NOT(ISERROR(SEARCH("Please select either “Yes” or “No.” Only one option may be selected.",D131)))</formula>
    </cfRule>
  </conditionalFormatting>
  <conditionalFormatting sqref="D134:I134">
    <cfRule type="containsText" dxfId="381" priority="167" operator="containsText" text="Assessor Note (if applicable):">
      <formula>NOT(ISERROR(SEARCH("Assessor Note (if applicable):",D134)))</formula>
    </cfRule>
  </conditionalFormatting>
  <conditionalFormatting sqref="D137:I138">
    <cfRule type="expression" dxfId="380" priority="40">
      <formula>$B$137=TRUE</formula>
    </cfRule>
    <cfRule type="containsText" dxfId="379" priority="108" operator="containsText" text="Please select either “Yes” or “No.” Only one option may be selected.">
      <formula>NOT(ISERROR(SEARCH("Please select either “Yes” or “No.” Only one option may be selected.",D137)))</formula>
    </cfRule>
  </conditionalFormatting>
  <conditionalFormatting sqref="D140:I140">
    <cfRule type="containsText" dxfId="378" priority="166" operator="containsText" text="Assessor Note (if applicable):">
      <formula>NOT(ISERROR(SEARCH("Assessor Note (if applicable):",D140)))</formula>
    </cfRule>
  </conditionalFormatting>
  <conditionalFormatting sqref="D144:I145">
    <cfRule type="expression" dxfId="377" priority="39">
      <formula>$B$144=TRUE</formula>
    </cfRule>
    <cfRule type="containsText" dxfId="376" priority="106" operator="containsText" text="Please select either “Yes” or “No.” Only one option may be selected.">
      <formula>NOT(ISERROR(SEARCH("Please select either “Yes” or “No.” Only one option may be selected.",D144)))</formula>
    </cfRule>
  </conditionalFormatting>
  <conditionalFormatting sqref="D147:I147">
    <cfRule type="containsText" dxfId="375" priority="165" operator="containsText" text="Assessor Note (if applicable):">
      <formula>NOT(ISERROR(SEARCH("Assessor Note (if applicable):",D147)))</formula>
    </cfRule>
  </conditionalFormatting>
  <conditionalFormatting sqref="D150:I151">
    <cfRule type="expression" dxfId="374" priority="38">
      <formula>$B$150=TRUE</formula>
    </cfRule>
    <cfRule type="containsText" dxfId="373" priority="104" operator="containsText" text="Please select either “Yes” or “No.” Only one option may be selected.">
      <formula>NOT(ISERROR(SEARCH("Please select either “Yes” or “No.” Only one option may be selected.",D150)))</formula>
    </cfRule>
  </conditionalFormatting>
  <conditionalFormatting sqref="D153:I153">
    <cfRule type="containsText" dxfId="372" priority="164" operator="containsText" text="Assessor Note (if applicable):">
      <formula>NOT(ISERROR(SEARCH("Assessor Note (if applicable):",D153)))</formula>
    </cfRule>
  </conditionalFormatting>
  <conditionalFormatting sqref="D156:I157">
    <cfRule type="expression" dxfId="371" priority="37">
      <formula>$B$156=TRUE</formula>
    </cfRule>
    <cfRule type="containsText" dxfId="370" priority="102" operator="containsText" text="Please select either “Yes” or “No.” Only one option may be selected.">
      <formula>NOT(ISERROR(SEARCH("Please select either “Yes” or “No.” Only one option may be selected.",D156)))</formula>
    </cfRule>
  </conditionalFormatting>
  <conditionalFormatting sqref="D159:I159">
    <cfRule type="containsText" dxfId="369" priority="163" operator="containsText" text="Assessor Note (if applicable):">
      <formula>NOT(ISERROR(SEARCH("Assessor Note (if applicable):",D159)))</formula>
    </cfRule>
  </conditionalFormatting>
  <conditionalFormatting sqref="D163:I164">
    <cfRule type="expression" dxfId="368" priority="36">
      <formula>$B$163=TRUE</formula>
    </cfRule>
    <cfRule type="containsText" dxfId="367" priority="100" operator="containsText" text="Please select either “Yes” or “No.” Only one option may be selected.">
      <formula>NOT(ISERROR(SEARCH("Please select either “Yes” or “No.” Only one option may be selected.",D163)))</formula>
    </cfRule>
  </conditionalFormatting>
  <conditionalFormatting sqref="D166:I166">
    <cfRule type="containsText" dxfId="366" priority="162" operator="containsText" text="Assessor Note (if applicable):">
      <formula>NOT(ISERROR(SEARCH("Assessor Note (if applicable):",D166)))</formula>
    </cfRule>
  </conditionalFormatting>
  <conditionalFormatting sqref="D173:I174">
    <cfRule type="expression" dxfId="365" priority="35">
      <formula>$B$173=TRUE</formula>
    </cfRule>
    <cfRule type="containsText" dxfId="364" priority="98" operator="containsText" text="Please select either “Yes” or “No.” Only one option may be selected.">
      <formula>NOT(ISERROR(SEARCH("Please select either “Yes” or “No.” Only one option may be selected.",D173)))</formula>
    </cfRule>
  </conditionalFormatting>
  <conditionalFormatting sqref="D176:I176">
    <cfRule type="containsText" dxfId="363" priority="161" operator="containsText" text="Assessor Note (if applicable):">
      <formula>NOT(ISERROR(SEARCH("Assessor Note (if applicable):",D176)))</formula>
    </cfRule>
  </conditionalFormatting>
  <conditionalFormatting sqref="D179:I180">
    <cfRule type="expression" dxfId="362" priority="34">
      <formula>$B$179=TRUE</formula>
    </cfRule>
    <cfRule type="containsText" dxfId="361" priority="96" operator="containsText" text="Please select either “Yes” or “No.” Only one option may be selected.">
      <formula>NOT(ISERROR(SEARCH("Please select either “Yes” or “No.” Only one option may be selected.",D179)))</formula>
    </cfRule>
  </conditionalFormatting>
  <conditionalFormatting sqref="D182:I182">
    <cfRule type="containsText" dxfId="360" priority="160" operator="containsText" text="Assessor Note (if applicable):">
      <formula>NOT(ISERROR(SEARCH("Assessor Note (if applicable):",D182)))</formula>
    </cfRule>
  </conditionalFormatting>
  <conditionalFormatting sqref="D185:I186">
    <cfRule type="expression" dxfId="359" priority="33">
      <formula>$B$185=TRUE</formula>
    </cfRule>
    <cfRule type="containsText" dxfId="358" priority="94" operator="containsText" text="Please select either “Yes” or “No.” Only one option may be selected.">
      <formula>NOT(ISERROR(SEARCH("Please select either “Yes” or “No.” Only one option may be selected.",D185)))</formula>
    </cfRule>
  </conditionalFormatting>
  <conditionalFormatting sqref="D188:I188">
    <cfRule type="containsText" dxfId="357" priority="159" operator="containsText" text="Assessor Note (if applicable):">
      <formula>NOT(ISERROR(SEARCH("Assessor Note (if applicable):",D188)))</formula>
    </cfRule>
  </conditionalFormatting>
  <conditionalFormatting sqref="D191:I192">
    <cfRule type="expression" dxfId="356" priority="32">
      <formula>$B$191=TRUE</formula>
    </cfRule>
    <cfRule type="containsText" dxfId="355" priority="92" operator="containsText" text="Please select either “Yes” or “No.” Only one option may be selected.">
      <formula>NOT(ISERROR(SEARCH("Please select either “Yes” or “No.” Only one option may be selected.",D191)))</formula>
    </cfRule>
  </conditionalFormatting>
  <conditionalFormatting sqref="D194:I194">
    <cfRule type="containsText" dxfId="354" priority="158" operator="containsText" text="Assessor Note (if applicable):">
      <formula>NOT(ISERROR(SEARCH("Assessor Note (if applicable):",D194)))</formula>
    </cfRule>
  </conditionalFormatting>
  <conditionalFormatting sqref="D197:I198">
    <cfRule type="expression" dxfId="353" priority="31">
      <formula>$B$197=TRUE</formula>
    </cfRule>
    <cfRule type="containsText" dxfId="352" priority="90" operator="containsText" text="Please select either “Yes” or “No.” Only one option may be selected.">
      <formula>NOT(ISERROR(SEARCH("Please select either “Yes” or “No.” Only one option may be selected.",D197)))</formula>
    </cfRule>
  </conditionalFormatting>
  <conditionalFormatting sqref="D200:I200">
    <cfRule type="containsText" dxfId="351" priority="157" operator="containsText" text="Assessor Note (if applicable):">
      <formula>NOT(ISERROR(SEARCH("Assessor Note (if applicable):",D200)))</formula>
    </cfRule>
  </conditionalFormatting>
  <conditionalFormatting sqref="D203:I204">
    <cfRule type="expression" dxfId="350" priority="30">
      <formula>$B$203=TRUE</formula>
    </cfRule>
    <cfRule type="containsText" dxfId="349" priority="88" operator="containsText" text="Please select either “Yes” or “No.” Only one option may be selected.">
      <formula>NOT(ISERROR(SEARCH("Please select either “Yes” or “No.” Only one option may be selected.",D203)))</formula>
    </cfRule>
  </conditionalFormatting>
  <conditionalFormatting sqref="D206:I206">
    <cfRule type="containsText" dxfId="348" priority="156" operator="containsText" text="Assessor Note (if applicable):">
      <formula>NOT(ISERROR(SEARCH("Assessor Note (if applicable):",D206)))</formula>
    </cfRule>
  </conditionalFormatting>
  <conditionalFormatting sqref="D209:I210">
    <cfRule type="expression" dxfId="347" priority="29">
      <formula>$B$209=TRUE</formula>
    </cfRule>
    <cfRule type="containsText" dxfId="346" priority="86" operator="containsText" text="Please select either “Yes” or “No.” Only one option may be selected.">
      <formula>NOT(ISERROR(SEARCH("Please select either “Yes” or “No.” Only one option may be selected.",D209)))</formula>
    </cfRule>
  </conditionalFormatting>
  <conditionalFormatting sqref="D212:I212">
    <cfRule type="containsText" dxfId="345" priority="155" operator="containsText" text="Assessor Note (if applicable):">
      <formula>NOT(ISERROR(SEARCH("Assessor Note (if applicable):",D212)))</formula>
    </cfRule>
  </conditionalFormatting>
  <conditionalFormatting sqref="D218:I219">
    <cfRule type="expression" dxfId="344" priority="28">
      <formula>$B$218=TRUE</formula>
    </cfRule>
    <cfRule type="containsText" dxfId="343" priority="84" operator="containsText" text="Please select either “Yes” or “No.” Only one option may be selected.">
      <formula>NOT(ISERROR(SEARCH("Please select either “Yes” or “No.” Only one option may be selected.",D218)))</formula>
    </cfRule>
  </conditionalFormatting>
  <conditionalFormatting sqref="D221:I221">
    <cfRule type="containsText" dxfId="342" priority="154" operator="containsText" text="Assessor Note (if applicable):">
      <formula>NOT(ISERROR(SEARCH("Assessor Note (if applicable):",D221)))</formula>
    </cfRule>
  </conditionalFormatting>
  <conditionalFormatting sqref="D224:I225">
    <cfRule type="expression" dxfId="341" priority="27">
      <formula>$B$224=TRUE</formula>
    </cfRule>
    <cfRule type="containsText" dxfId="340" priority="82" operator="containsText" text="Please select either “Yes” or “No.” Only one option may be selected.">
      <formula>NOT(ISERROR(SEARCH("Please select either “Yes” or “No.” Only one option may be selected.",D224)))</formula>
    </cfRule>
  </conditionalFormatting>
  <conditionalFormatting sqref="D227:I227">
    <cfRule type="containsText" dxfId="339" priority="153" operator="containsText" text="Assessor Note (if applicable):">
      <formula>NOT(ISERROR(SEARCH("Assessor Note (if applicable):",D227)))</formula>
    </cfRule>
  </conditionalFormatting>
  <conditionalFormatting sqref="D230:I231">
    <cfRule type="expression" dxfId="338" priority="26">
      <formula>$B$230=TRUE</formula>
    </cfRule>
    <cfRule type="containsText" dxfId="337" priority="80" operator="containsText" text="Please select either “Yes” or “No.” Only one option may be selected.">
      <formula>NOT(ISERROR(SEARCH("Please select either “Yes” or “No.” Only one option may be selected.",D230)))</formula>
    </cfRule>
  </conditionalFormatting>
  <conditionalFormatting sqref="D233:I233">
    <cfRule type="containsText" dxfId="336" priority="152" operator="containsText" text="Assessor Note (if applicable):">
      <formula>NOT(ISERROR(SEARCH("Assessor Note (if applicable):",D233)))</formula>
    </cfRule>
  </conditionalFormatting>
  <conditionalFormatting sqref="D236:I237">
    <cfRule type="expression" dxfId="335" priority="25">
      <formula>$B$236=TRUE</formula>
    </cfRule>
    <cfRule type="containsText" dxfId="334" priority="78" operator="containsText" text="Please select either “Yes” or “No.” Only one option may be selected.">
      <formula>NOT(ISERROR(SEARCH("Please select either “Yes” or “No.” Only one option may be selected.",D236)))</formula>
    </cfRule>
  </conditionalFormatting>
  <conditionalFormatting sqref="D239:I239">
    <cfRule type="containsText" dxfId="333" priority="151" operator="containsText" text="Assessor Note (if applicable):">
      <formula>NOT(ISERROR(SEARCH("Assessor Note (if applicable):",D239)))</formula>
    </cfRule>
  </conditionalFormatting>
  <conditionalFormatting sqref="D242:I243">
    <cfRule type="expression" dxfId="332" priority="24">
      <formula>$B$242=TRUE</formula>
    </cfRule>
    <cfRule type="containsText" dxfId="331" priority="76" operator="containsText" text="Please select either “Yes” or “No.” Only one option may be selected.">
      <formula>NOT(ISERROR(SEARCH("Please select either “Yes” or “No.” Only one option may be selected.",D242)))</formula>
    </cfRule>
  </conditionalFormatting>
  <conditionalFormatting sqref="D245:I245">
    <cfRule type="containsText" dxfId="330" priority="150" operator="containsText" text="Assessor Note (if applicable):">
      <formula>NOT(ISERROR(SEARCH("Assessor Note (if applicable):",D245)))</formula>
    </cfRule>
  </conditionalFormatting>
  <conditionalFormatting sqref="D250:I257 D260:I276">
    <cfRule type="containsText" dxfId="329" priority="7" operator="containsText" text="Tick Checkbox if applicable">
      <formula>NOT(ISERROR(SEARCH("Tick Checkbox if applicable",D250)))</formula>
    </cfRule>
    <cfRule type="containsText" dxfId="328" priority="266" operator="containsText" text="Not Applicable">
      <formula>NOT(ISERROR(SEARCH("Not Applicable",D250)))</formula>
    </cfRule>
    <cfRule type="containsText" dxfId="327" priority="267" operator="containsText" text="Applicable">
      <formula>NOT(ISERROR(SEARCH("Applicable",D250)))</formula>
    </cfRule>
  </conditionalFormatting>
  <conditionalFormatting sqref="D281:I282">
    <cfRule type="expression" dxfId="326" priority="23">
      <formula>$B$281=TRUE</formula>
    </cfRule>
    <cfRule type="containsText" dxfId="325" priority="74" operator="containsText" text="Please select either “Yes” or “No.” Only one option may be selected.">
      <formula>NOT(ISERROR(SEARCH("Please select either “Yes” or “No.” Only one option may be selected.",D281)))</formula>
    </cfRule>
  </conditionalFormatting>
  <conditionalFormatting sqref="D284:I284">
    <cfRule type="containsText" dxfId="324" priority="149" operator="containsText" text="Assessor Note (if applicable):">
      <formula>NOT(ISERROR(SEARCH("Assessor Note (if applicable):",D284)))</formula>
    </cfRule>
  </conditionalFormatting>
  <conditionalFormatting sqref="D287:I288">
    <cfRule type="expression" dxfId="323" priority="22">
      <formula>$B$287=TRUE</formula>
    </cfRule>
    <cfRule type="containsText" dxfId="322" priority="72" operator="containsText" text="Please select either “Yes” or “No.” Only one option may be selected.">
      <formula>NOT(ISERROR(SEARCH("Please select either “Yes” or “No.” Only one option may be selected.",D287)))</formula>
    </cfRule>
  </conditionalFormatting>
  <conditionalFormatting sqref="D290:I290">
    <cfRule type="containsText" dxfId="321" priority="148" operator="containsText" text="Assessor Note (if applicable):">
      <formula>NOT(ISERROR(SEARCH("Assessor Note (if applicable):",D290)))</formula>
    </cfRule>
  </conditionalFormatting>
  <conditionalFormatting sqref="D293:I294">
    <cfRule type="expression" dxfId="320" priority="21">
      <formula>$B$293=TRUE</formula>
    </cfRule>
    <cfRule type="containsText" dxfId="319" priority="70" operator="containsText" text="Please select either “Yes” or “No.” Only one option may be selected.">
      <formula>NOT(ISERROR(SEARCH("Please select either “Yes” or “No.” Only one option may be selected.",D293)))</formula>
    </cfRule>
  </conditionalFormatting>
  <conditionalFormatting sqref="D296:I296">
    <cfRule type="containsText" dxfId="318" priority="147" operator="containsText" text="Assessor Note (if applicable):">
      <formula>NOT(ISERROR(SEARCH("Assessor Note (if applicable):",D296)))</formula>
    </cfRule>
  </conditionalFormatting>
  <conditionalFormatting sqref="D301:I302">
    <cfRule type="expression" dxfId="317" priority="20">
      <formula>$B$301=TRUE</formula>
    </cfRule>
    <cfRule type="containsText" dxfId="316" priority="68" operator="containsText" text="Please select either “Yes” or “No.” Only one option may be selected.">
      <formula>NOT(ISERROR(SEARCH("Please select either “Yes” or “No.” Only one option may be selected.",D301)))</formula>
    </cfRule>
  </conditionalFormatting>
  <conditionalFormatting sqref="D304:I304">
    <cfRule type="containsText" dxfId="315" priority="146" operator="containsText" text="Assessor Note (if applicable):">
      <formula>NOT(ISERROR(SEARCH("Assessor Note (if applicable):",D304)))</formula>
    </cfRule>
  </conditionalFormatting>
  <conditionalFormatting sqref="D307:I308">
    <cfRule type="expression" dxfId="314" priority="19">
      <formula>$B$307=TRUE</formula>
    </cfRule>
    <cfRule type="containsText" dxfId="313" priority="66" operator="containsText" text="Please select either “Yes” or “No.” Only one option may be selected.">
      <formula>NOT(ISERROR(SEARCH("Please select either “Yes” or “No.” Only one option may be selected.",D307)))</formula>
    </cfRule>
  </conditionalFormatting>
  <conditionalFormatting sqref="D310:I310">
    <cfRule type="containsText" dxfId="312" priority="145" operator="containsText" text="Assessor Note (if applicable):">
      <formula>NOT(ISERROR(SEARCH("Assessor Note (if applicable):",D310)))</formula>
    </cfRule>
  </conditionalFormatting>
  <conditionalFormatting sqref="D313:I314">
    <cfRule type="expression" dxfId="311" priority="18">
      <formula>$B$313=TRUE</formula>
    </cfRule>
    <cfRule type="containsText" dxfId="310" priority="64" operator="containsText" text="Please select either “Yes” or “No.” Only one option may be selected.">
      <formula>NOT(ISERROR(SEARCH("Please select either “Yes” or “No.” Only one option may be selected.",D313)))</formula>
    </cfRule>
  </conditionalFormatting>
  <conditionalFormatting sqref="D316:I316">
    <cfRule type="containsText" dxfId="309" priority="143" operator="containsText" text="Assessor Note (if applicable):">
      <formula>NOT(ISERROR(SEARCH("Assessor Note (if applicable):",D316)))</formula>
    </cfRule>
  </conditionalFormatting>
  <conditionalFormatting sqref="D319:I320">
    <cfRule type="expression" dxfId="308" priority="13">
      <formula>$B$313=TRUE</formula>
    </cfRule>
    <cfRule type="containsText" dxfId="307" priority="14" operator="containsText" text="Please select either “Yes” or “No.” Only one option may be selected.">
      <formula>NOT(ISERROR(SEARCH("Please select either “Yes” or “No.” Only one option may be selected.",D319)))</formula>
    </cfRule>
  </conditionalFormatting>
  <conditionalFormatting sqref="D322:I322">
    <cfRule type="containsText" dxfId="306" priority="16" operator="containsText" text="Assessor Note (if applicable):">
      <formula>NOT(ISERROR(SEARCH("Assessor Note (if applicable):",D322)))</formula>
    </cfRule>
  </conditionalFormatting>
  <conditionalFormatting sqref="J248">
    <cfRule type="expression" dxfId="305" priority="2">
      <formula>$J$250=7</formula>
    </cfRule>
  </conditionalFormatting>
  <conditionalFormatting sqref="J258">
    <cfRule type="expression" dxfId="304" priority="1">
      <formula>$J$262=15</formula>
    </cfRule>
  </conditionalFormatting>
  <dataValidations count="11">
    <dataValidation allowBlank="1" showInputMessage="1" showErrorMessage="1" prompt="Confirm to OSHA tab" sqref="D23:I24" xr:uid="{AC11EC5A-E40D-4F94-89A5-D9376ED64588}"/>
    <dataValidation allowBlank="1" showInputMessage="1" showErrorMessage="1" prompt="Choose either YES or NO only to ensure an accurate judgment" sqref="A307:A308 A16:A19 A43:A44 A29:A30 A75:A76 A61:A62 A81:A82 A87:A88 A93:A94 A99:A100 A105:A106 A111:A112 A69:A70 A123:A124 A131:A132 A137:A138 A144:A145 A150:A151 A156:A157 A163:A164 A173:A174 A179:A180 A185:A186 A191:A192 A197:A198 A203:A204 A209:A210 A218:A219 A224:A225 A230:A231 A236:A237 A242:A243 A281:A282 A287:A288 A293:A294 A117:A118 A301:A302 A35:A36 A49:A50 A313:A314 A55:A56 A319:A320" xr:uid="{D571D1D9-D35A-45CC-8D4D-51FD930EB470}"/>
    <dataValidation allowBlank="1" showInputMessage="1" showErrorMessage="1" promptTitle="Example" sqref="A54" xr:uid="{DE8D8FDC-CCEF-4D1C-8DDC-EDDE4D213426}"/>
    <dataValidation allowBlank="1" showInputMessage="1" showErrorMessage="1" prompt="Insert text at exact location, example &quot;Scheduled Waste Store, IETP, Worshop etc.&quot;" sqref="B8:E8" xr:uid="{AE87FD8A-0373-4F5B-8B50-B3F42C106C09}"/>
    <dataValidation allowBlank="1" showInputMessage="1" showErrorMessage="1" prompt="Definition of young worker according Employement Act - less than 18 years old" sqref="D35:I35" xr:uid="{FDAF971C-5B4B-4415-A873-980BD0917964}"/>
    <dataValidation allowBlank="1" showInputMessage="1" showErrorMessage="1" promptTitle="Confined space definition:" sqref="A86" xr:uid="{CAA95A9F-B2E7-48B5-A7FB-D897AB837F4C}"/>
    <dataValidation allowBlank="1" showInputMessage="1" showErrorMessage="1" prompt="No specific project value is stipulated under CDM Regulations 2024, CIDB or related laws for appointing an SSS. Any value threshold, if applied, is likely an internal procedure, client requirement, contract condition or company policy." sqref="D49:I49" xr:uid="{769D993D-6BB8-4BDF-85A5-C8CF51F77AF7}"/>
    <dataValidation allowBlank="1" showInputMessage="1" showErrorMessage="1" prompt="Only applicable for the premise defined under Fire Certificate Regulation (designated premises). Click right button (arrow) to confirm the premise category." sqref="D250:I256" xr:uid="{E30C4F19-CD79-46D5-807D-AFD8FBD884E0}"/>
    <dataValidation allowBlank="1" showInputMessage="1" showErrorMessage="1" prompt="means any person who contracts with a principal to carry out in whole or in part any work undertaken by the principal in the course of or for the purposes of the principal’s trade, business, profession or undertaking; (OSHA 1994)" sqref="B22:D22" xr:uid="{3EF545AB-FBBE-4876-9AE8-B6D750BE9689}"/>
    <dataValidation allowBlank="1" showInputMessage="1" showErrorMessage="1" prompt="The RM10 million project value threshold for appointing a SSS is not a statutory requirement under Malaysian legislation; it may instead be an internal policy, client specification, or contractual requirement ." sqref="B48:D48" xr:uid="{1880A670-01DC-49A3-B735-98C6229398B5}"/>
    <dataValidation allowBlank="1" showInputMessage="1" showErrorMessage="1" prompt="Clieck HERE for details" sqref="J23:J24" xr:uid="{020E63C2-F408-4755-8E55-8189D454268F}"/>
  </dataValidations>
  <hyperlinks>
    <hyperlink ref="A19" location="Section_29___Appointment_of_Safety_and_Health_Officer" display="Section_29___Appointment_of_Safety_and_Health_Officer" xr:uid="{4DD9C383-9E3C-4E66-8C58-7A5AB7776C2B}"/>
    <hyperlink ref="A17" location="Section_29A___Appointment_of_OSH_Coordinator_at_workplace" display="Section_29A___Appointment_of_OSH_Coordinator_at_workplace" xr:uid="{8CEFACEE-7B88-4A08-A8C9-FFDD0D66EA33}"/>
    <hyperlink ref="A18" location="Section_30___Establish_Safety_and_Health_Committee_where_required" display="Section_30___Establish_Safety_and_Health_Committee_where_required" xr:uid="{132F67E2-5171-4DDB-B81A-0650DCD3D4D1}"/>
  </hyperlinks>
  <pageMargins left="0.7" right="0.2"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Option Button 2">
              <controlPr defaultSize="0" autoFill="0" autoLine="0" autoPict="0">
                <anchor moveWithCells="1">
                  <from>
                    <xdr:col>9</xdr:col>
                    <xdr:colOff>273050</xdr:colOff>
                    <xdr:row>13</xdr:row>
                    <xdr:rowOff>76200</xdr:rowOff>
                  </from>
                  <to>
                    <xdr:col>12</xdr:col>
                    <xdr:colOff>381000</xdr:colOff>
                    <xdr:row>14</xdr:row>
                    <xdr:rowOff>38100</xdr:rowOff>
                  </to>
                </anchor>
              </controlPr>
            </control>
          </mc:Choice>
        </mc:AlternateContent>
        <mc:AlternateContent xmlns:mc="http://schemas.openxmlformats.org/markup-compatibility/2006">
          <mc:Choice Requires="x14">
            <control shapeId="1027" r:id="rId5" name="Option Button 3">
              <controlPr defaultSize="0" autoFill="0" autoLine="0" autoPict="0">
                <anchor moveWithCells="1">
                  <from>
                    <xdr:col>9</xdr:col>
                    <xdr:colOff>273050</xdr:colOff>
                    <xdr:row>12</xdr:row>
                    <xdr:rowOff>69850</xdr:rowOff>
                  </from>
                  <to>
                    <xdr:col>12</xdr:col>
                    <xdr:colOff>381000</xdr:colOff>
                    <xdr:row>13</xdr:row>
                    <xdr:rowOff>139700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10AEA2BC-F632-48AD-AE21-4978B43D9CF8}">
          <x14:formula1>
            <xm:f>'back-data'!$A$149:$A$152</xm:f>
          </x14:formula1>
          <xm:sqref>B12</xm:sqref>
        </x14:dataValidation>
        <x14:dataValidation type="list" allowBlank="1" showInputMessage="1" showErrorMessage="1" xr:uid="{A02F3BE2-BC2E-46CF-BEB1-8CA7877F0BBE}">
          <x14:formula1>
            <xm:f>'back-data'!$A$142:$A$147</xm:f>
          </x14:formula1>
          <xm:sqref>B6:E6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E6AF9-0CA3-4ABD-ADA4-055B3E0FFBFC}">
  <sheetPr>
    <tabColor rgb="FFFFFF00"/>
  </sheetPr>
  <dimension ref="A1:L89"/>
  <sheetViews>
    <sheetView showGridLines="0" topLeftCell="C1" zoomScale="115" zoomScaleNormal="115" workbookViewId="0">
      <selection activeCell="D5" sqref="D5:F5"/>
    </sheetView>
  </sheetViews>
  <sheetFormatPr defaultRowHeight="14.5"/>
  <cols>
    <col min="1" max="1" width="2.1796875" customWidth="1"/>
    <col min="2" max="2" width="5" customWidth="1"/>
    <col min="3" max="3" width="25.7265625" customWidth="1"/>
    <col min="4" max="4" width="14" customWidth="1"/>
    <col min="5" max="5" width="10" customWidth="1"/>
    <col min="6" max="6" width="9" customWidth="1"/>
    <col min="7" max="8" width="10" customWidth="1"/>
    <col min="9" max="9" width="11" customWidth="1"/>
    <col min="10" max="10" width="12" customWidth="1"/>
    <col min="11" max="11" width="17" customWidth="1"/>
    <col min="12" max="12" width="23" customWidth="1"/>
  </cols>
  <sheetData>
    <row r="1" spans="1:12" ht="18.649999999999999" customHeight="1">
      <c r="A1" s="99"/>
      <c r="B1" s="202" t="s">
        <v>1371</v>
      </c>
      <c r="C1" s="202"/>
      <c r="D1" s="202"/>
      <c r="E1" s="202"/>
      <c r="F1" s="202"/>
      <c r="G1" s="202"/>
      <c r="H1" s="202"/>
      <c r="I1" s="202"/>
      <c r="J1" s="202"/>
      <c r="K1" s="202"/>
      <c r="L1" s="202"/>
    </row>
    <row r="2" spans="1:12" ht="13.4" customHeight="1">
      <c r="A2" s="100"/>
      <c r="B2" s="203" t="str">
        <f>CONCATENATE(Dashboard_Input!$C$6," | 2026 | Legal Compliance Checklist + Action Tracker")</f>
        <v>OSHE Legal Evaluation and Assessment | 2026 | Legal Compliance Checklist + Action Tracker</v>
      </c>
      <c r="C2" s="203"/>
      <c r="D2" s="203"/>
      <c r="E2" s="203"/>
      <c r="F2" s="203"/>
      <c r="G2" s="203"/>
      <c r="H2" s="203"/>
      <c r="I2" s="203"/>
      <c r="J2" s="203"/>
      <c r="K2" s="203"/>
      <c r="L2" s="203"/>
    </row>
    <row r="3" spans="1:12" ht="13.4" customHeight="1">
      <c r="A3" s="101"/>
      <c r="B3" s="204" t="s">
        <v>1758</v>
      </c>
      <c r="C3" s="204"/>
      <c r="D3" s="204"/>
      <c r="E3" s="204"/>
      <c r="F3" s="204"/>
      <c r="G3" s="204"/>
      <c r="H3" s="204"/>
      <c r="I3" s="204"/>
      <c r="J3" s="204"/>
      <c r="K3" s="204"/>
      <c r="L3" s="204"/>
    </row>
    <row r="4" spans="1:12" ht="14.65" customHeight="1">
      <c r="A4" s="102"/>
      <c r="B4" s="205" t="s">
        <v>622</v>
      </c>
      <c r="C4" s="205"/>
      <c r="D4" s="205">
        <f>Home!B6</f>
        <v>0</v>
      </c>
      <c r="E4" s="205"/>
      <c r="F4" s="205"/>
      <c r="G4" s="205" t="s">
        <v>2543</v>
      </c>
      <c r="H4" s="205"/>
      <c r="I4" s="236">
        <f>Home!B8</f>
        <v>0</v>
      </c>
      <c r="J4" s="236"/>
      <c r="K4" s="236"/>
      <c r="L4" s="236"/>
    </row>
    <row r="5" spans="1:12" ht="14.65" customHeight="1">
      <c r="A5" s="102"/>
      <c r="B5" s="205" t="s">
        <v>1385</v>
      </c>
      <c r="C5" s="205"/>
      <c r="D5" s="207" t="str">
        <f>IF(Home!B10="","",Home!B10)</f>
        <v/>
      </c>
      <c r="E5" s="207"/>
      <c r="F5" s="207"/>
      <c r="G5" s="205" t="s">
        <v>1759</v>
      </c>
      <c r="H5" s="205"/>
      <c r="I5" s="208" t="str">
        <f>Dashboard_Data!K31</f>
        <v>Maintain Compliance</v>
      </c>
      <c r="J5" s="208"/>
      <c r="K5" s="208"/>
      <c r="L5" s="208"/>
    </row>
    <row r="6" spans="1:12" ht="5.4" customHeight="1">
      <c r="B6" s="83"/>
      <c r="C6" s="83"/>
      <c r="D6" s="83"/>
      <c r="E6" s="83"/>
      <c r="F6" s="83"/>
      <c r="G6" s="83"/>
      <c r="H6" s="83"/>
      <c r="I6" s="83"/>
      <c r="J6" s="83"/>
      <c r="K6" s="83"/>
      <c r="L6" s="83"/>
    </row>
    <row r="7" spans="1:12" ht="13.4" customHeight="1">
      <c r="A7" s="103"/>
      <c r="B7" s="209" t="s">
        <v>1679</v>
      </c>
      <c r="C7" s="209"/>
      <c r="D7" s="209"/>
      <c r="E7" s="209" t="s">
        <v>1457</v>
      </c>
      <c r="F7" s="209"/>
      <c r="G7" s="209"/>
      <c r="H7" s="209" t="s">
        <v>1688</v>
      </c>
      <c r="I7" s="209"/>
      <c r="J7" s="209"/>
      <c r="K7" s="209" t="s">
        <v>1456</v>
      </c>
      <c r="L7" s="209"/>
    </row>
    <row r="8" spans="1:12" ht="17.399999999999999" customHeight="1">
      <c r="A8" s="108"/>
      <c r="B8" s="210">
        <f>Dashboard_Data!D31</f>
        <v>76</v>
      </c>
      <c r="C8" s="211"/>
      <c r="D8" s="211"/>
      <c r="E8" s="212">
        <f>Dashboard_Data!I31</f>
        <v>1</v>
      </c>
      <c r="F8" s="211"/>
      <c r="G8" s="211"/>
      <c r="H8" s="210">
        <f>Dashboard_Data!G31</f>
        <v>0</v>
      </c>
      <c r="I8" s="211"/>
      <c r="J8" s="211"/>
      <c r="K8" s="210">
        <f>Dashboard_Data!H31</f>
        <v>0</v>
      </c>
      <c r="L8" s="211"/>
    </row>
    <row r="9" spans="1:12" ht="17.399999999999999" customHeight="1">
      <c r="A9" s="108"/>
      <c r="B9" s="211"/>
      <c r="C9" s="211"/>
      <c r="D9" s="211"/>
      <c r="E9" s="211"/>
      <c r="F9" s="211"/>
      <c r="G9" s="211"/>
      <c r="H9" s="211"/>
      <c r="I9" s="211"/>
      <c r="J9" s="211"/>
      <c r="K9" s="211"/>
      <c r="L9" s="211"/>
    </row>
    <row r="10" spans="1:12" ht="17.399999999999999" customHeight="1">
      <c r="A10" s="108"/>
      <c r="B10" s="211"/>
      <c r="C10" s="211"/>
      <c r="D10" s="211"/>
      <c r="E10" s="211"/>
      <c r="F10" s="211"/>
      <c r="G10" s="211"/>
      <c r="H10" s="211"/>
      <c r="I10" s="211"/>
      <c r="J10" s="211"/>
      <c r="K10" s="211"/>
      <c r="L10" s="211"/>
    </row>
    <row r="11" spans="1:12" ht="5.4" customHeight="1">
      <c r="B11" s="83"/>
      <c r="C11" s="83"/>
      <c r="D11" s="83"/>
      <c r="E11" s="83"/>
      <c r="F11" s="83"/>
      <c r="G11" s="83"/>
      <c r="H11" s="83"/>
      <c r="I11" s="83"/>
      <c r="J11" s="83"/>
      <c r="K11" s="83"/>
      <c r="L11" s="83"/>
    </row>
    <row r="12" spans="1:12" ht="13.4" customHeight="1">
      <c r="A12" s="101"/>
      <c r="B12" s="204" t="s">
        <v>1760</v>
      </c>
      <c r="C12" s="204"/>
      <c r="D12" s="204"/>
      <c r="E12" s="204"/>
      <c r="F12" s="204"/>
      <c r="G12" s="204"/>
      <c r="H12" s="204"/>
      <c r="I12" s="204"/>
      <c r="J12" s="204"/>
      <c r="K12" s="204"/>
      <c r="L12" s="204"/>
    </row>
    <row r="13" spans="1:12" ht="18" customHeight="1">
      <c r="A13" s="109"/>
      <c r="B13" s="206" t="str">
        <f>IF(Dashboard_Data!G31&gt;0,"Action Required: Close non-compliant requirements in Action_Tracker, assign owners and verify evidence.",IF(Dashboard_Data!H31&gt;0,"Pending Evaluation: Complete compliance evaluation for all applicable requirements before confirming status.",IF(Dashboard_Data!I31&gt;=0.95,"Maintain Compliance: Keep evidence updated and continue scheduled legal compliance review.","Improve Compliance: Raise corrective actions and monitor closure to increase compliance rate.")))</f>
        <v>Maintain Compliance: Keep evidence updated and continue scheduled legal compliance review.</v>
      </c>
      <c r="C13" s="206"/>
      <c r="D13" s="206"/>
      <c r="E13" s="206"/>
      <c r="F13" s="206"/>
      <c r="G13" s="206"/>
      <c r="H13" s="206"/>
      <c r="I13" s="206"/>
      <c r="J13" s="206"/>
      <c r="K13" s="206"/>
      <c r="L13" s="206"/>
    </row>
    <row r="14" spans="1:12" ht="18" customHeight="1">
      <c r="A14" s="109"/>
      <c r="B14" s="206"/>
      <c r="C14" s="206"/>
      <c r="D14" s="206"/>
      <c r="E14" s="206"/>
      <c r="F14" s="206"/>
      <c r="G14" s="206"/>
      <c r="H14" s="206"/>
      <c r="I14" s="206"/>
      <c r="J14" s="206"/>
      <c r="K14" s="206"/>
      <c r="L14" s="206"/>
    </row>
    <row r="15" spans="1:12" ht="18" customHeight="1">
      <c r="A15" s="109"/>
      <c r="B15" s="206"/>
      <c r="C15" s="206"/>
      <c r="D15" s="206"/>
      <c r="E15" s="206"/>
      <c r="F15" s="206"/>
      <c r="G15" s="206"/>
      <c r="H15" s="206"/>
      <c r="I15" s="206"/>
      <c r="J15" s="206"/>
      <c r="K15" s="206"/>
      <c r="L15" s="206"/>
    </row>
    <row r="16" spans="1:12" ht="5.4" customHeight="1">
      <c r="B16" s="83"/>
      <c r="C16" s="83"/>
      <c r="D16" s="83"/>
      <c r="E16" s="83"/>
      <c r="F16" s="83"/>
      <c r="G16" s="83"/>
      <c r="H16" s="83"/>
      <c r="I16" s="83"/>
      <c r="J16" s="83"/>
      <c r="K16" s="83"/>
      <c r="L16" s="83"/>
    </row>
    <row r="17" spans="1:12" ht="13.4" customHeight="1">
      <c r="A17" s="101"/>
      <c r="B17" s="204" t="s">
        <v>1761</v>
      </c>
      <c r="C17" s="204"/>
      <c r="D17" s="204"/>
      <c r="E17" s="204"/>
      <c r="F17" s="204"/>
      <c r="G17" s="83"/>
      <c r="H17" s="204" t="s">
        <v>1762</v>
      </c>
      <c r="I17" s="204"/>
      <c r="J17" s="204"/>
      <c r="K17" s="204"/>
      <c r="L17" s="204"/>
    </row>
    <row r="18" spans="1:12" ht="20.5" customHeight="1">
      <c r="A18" s="110"/>
      <c r="B18" s="213" t="s">
        <v>1763</v>
      </c>
      <c r="C18" s="214"/>
      <c r="D18" s="105">
        <f>Dashboard_Data!C31</f>
        <v>653</v>
      </c>
      <c r="E18" s="213" t="s">
        <v>1764</v>
      </c>
      <c r="F18" s="213"/>
      <c r="G18" s="106"/>
      <c r="H18" s="213" t="s">
        <v>1618</v>
      </c>
      <c r="I18" s="214"/>
      <c r="J18" s="105" t="e">
        <f>COUNTIF(#REF!,"Open")+COUNTIF(#REF!,"In Progress")</f>
        <v>#REF!</v>
      </c>
      <c r="K18" s="213" t="s">
        <v>1765</v>
      </c>
      <c r="L18" s="213"/>
    </row>
    <row r="19" spans="1:12" ht="20.5" customHeight="1">
      <c r="A19" s="110"/>
      <c r="B19" s="213" t="s">
        <v>1679</v>
      </c>
      <c r="C19" s="214"/>
      <c r="D19" s="105">
        <f>Dashboard_Data!D31</f>
        <v>76</v>
      </c>
      <c r="E19" s="213" t="s">
        <v>1766</v>
      </c>
      <c r="F19" s="213"/>
      <c r="G19" s="106"/>
      <c r="H19" s="213" t="s">
        <v>1629</v>
      </c>
      <c r="I19" s="214"/>
      <c r="J19" s="105" t="e">
        <f>COUNTIF(#REF!,"Overdue")</f>
        <v>#REF!</v>
      </c>
      <c r="K19" s="213" t="s">
        <v>1767</v>
      </c>
      <c r="L19" s="213"/>
    </row>
    <row r="20" spans="1:12" ht="25" customHeight="1">
      <c r="A20" s="110"/>
      <c r="B20" s="213" t="s">
        <v>1453</v>
      </c>
      <c r="C20" s="214"/>
      <c r="D20" s="105">
        <f>Dashboard_Data!E31</f>
        <v>576</v>
      </c>
      <c r="E20" s="213" t="s">
        <v>1768</v>
      </c>
      <c r="F20" s="213"/>
      <c r="G20" s="106"/>
      <c r="H20" s="213" t="s">
        <v>1769</v>
      </c>
      <c r="I20" s="214"/>
      <c r="J20" s="105" t="e">
        <f>COUNTIF(#REF!,"Due Soon")</f>
        <v>#REF!</v>
      </c>
      <c r="K20" s="213" t="s">
        <v>1770</v>
      </c>
      <c r="L20" s="213"/>
    </row>
    <row r="21" spans="1:12" ht="25" customHeight="1">
      <c r="A21" s="110"/>
      <c r="B21" s="213" t="s">
        <v>1458</v>
      </c>
      <c r="C21" s="216"/>
      <c r="D21" s="107">
        <f>Dashboard_Data!J31</f>
        <v>1</v>
      </c>
      <c r="E21" s="213" t="s">
        <v>1771</v>
      </c>
      <c r="F21" s="213"/>
      <c r="G21" s="106"/>
      <c r="H21" s="213" t="s">
        <v>1633</v>
      </c>
      <c r="I21" s="214"/>
      <c r="J21" s="105">
        <f>COUNTIF(Action_Tracker!$G$5:$G$104,"Closed")</f>
        <v>0</v>
      </c>
      <c r="K21" s="213" t="s">
        <v>1637</v>
      </c>
      <c r="L21" s="213"/>
    </row>
    <row r="22" spans="1:12" ht="5.4" customHeight="1">
      <c r="B22" s="83"/>
      <c r="C22" s="83"/>
      <c r="D22" s="83"/>
      <c r="E22" s="83"/>
      <c r="F22" s="83"/>
      <c r="G22" s="83"/>
      <c r="H22" s="83"/>
      <c r="I22" s="83"/>
      <c r="J22" s="83"/>
      <c r="K22" s="83"/>
      <c r="L22" s="83"/>
    </row>
    <row r="23" spans="1:12" ht="13.4" customHeight="1">
      <c r="A23" s="101"/>
      <c r="B23" s="204" t="s">
        <v>1772</v>
      </c>
      <c r="C23" s="204"/>
      <c r="D23" s="204"/>
      <c r="E23" s="204"/>
      <c r="F23" s="204"/>
      <c r="G23" s="204"/>
      <c r="H23" s="204"/>
      <c r="I23" s="204"/>
      <c r="J23" s="204"/>
      <c r="K23" s="204"/>
      <c r="L23" s="204"/>
    </row>
    <row r="24" spans="1:12" ht="16" customHeight="1">
      <c r="B24" s="215" t="s">
        <v>2530</v>
      </c>
      <c r="C24" s="215"/>
      <c r="D24" s="215"/>
      <c r="E24" s="215"/>
      <c r="F24" s="215"/>
      <c r="G24" s="215"/>
      <c r="H24" s="215"/>
      <c r="I24" s="215"/>
      <c r="J24" s="215"/>
      <c r="K24" s="215"/>
      <c r="L24" s="215"/>
    </row>
    <row r="25" spans="1:12" ht="16" customHeight="1">
      <c r="B25" s="215" t="s">
        <v>2531</v>
      </c>
      <c r="C25" s="215"/>
      <c r="D25" s="215"/>
      <c r="E25" s="215"/>
      <c r="F25" s="215"/>
      <c r="G25" s="215"/>
      <c r="H25" s="215"/>
      <c r="I25" s="215"/>
      <c r="J25" s="215"/>
      <c r="K25" s="215"/>
      <c r="L25" s="215"/>
    </row>
    <row r="26" spans="1:12" ht="16" customHeight="1">
      <c r="B26" s="215" t="s">
        <v>1773</v>
      </c>
      <c r="C26" s="215"/>
      <c r="D26" s="215"/>
      <c r="E26" s="215"/>
      <c r="F26" s="215"/>
      <c r="G26" s="215"/>
      <c r="H26" s="215"/>
      <c r="I26" s="215"/>
      <c r="J26" s="215"/>
      <c r="K26" s="215"/>
      <c r="L26" s="215"/>
    </row>
    <row r="27" spans="1:12" ht="16" customHeight="1">
      <c r="B27" s="215" t="s">
        <v>2532</v>
      </c>
      <c r="C27" s="215"/>
      <c r="D27" s="215"/>
      <c r="E27" s="215"/>
      <c r="F27" s="215"/>
      <c r="G27" s="215"/>
      <c r="H27" s="215"/>
      <c r="I27" s="215"/>
      <c r="J27" s="215"/>
      <c r="K27" s="215"/>
      <c r="L27" s="215"/>
    </row>
    <row r="28" spans="1:12" ht="5.4" customHeight="1">
      <c r="B28" s="83"/>
      <c r="C28" s="83"/>
      <c r="D28" s="83"/>
      <c r="E28" s="83"/>
      <c r="F28" s="83"/>
      <c r="G28" s="83"/>
      <c r="H28" s="83"/>
      <c r="I28" s="83"/>
      <c r="J28" s="83"/>
      <c r="K28" s="83"/>
      <c r="L28" s="83"/>
    </row>
    <row r="29" spans="1:12" ht="13.4" customHeight="1">
      <c r="A29" s="101"/>
      <c r="B29" s="204" t="s">
        <v>1774</v>
      </c>
      <c r="C29" s="204"/>
      <c r="D29" s="204"/>
      <c r="E29" s="204"/>
      <c r="F29" s="204"/>
      <c r="G29" s="204"/>
      <c r="H29" s="204"/>
      <c r="I29" s="204"/>
      <c r="J29" s="204"/>
      <c r="K29" s="204"/>
      <c r="L29" s="204"/>
    </row>
    <row r="30" spans="1:12" ht="16" customHeight="1">
      <c r="B30" s="84" t="s">
        <v>1775</v>
      </c>
      <c r="C30" s="84" t="s">
        <v>1447</v>
      </c>
      <c r="D30" s="84" t="s">
        <v>1448</v>
      </c>
      <c r="E30" s="84" t="s">
        <v>305</v>
      </c>
      <c r="F30" s="84" t="s">
        <v>1454</v>
      </c>
      <c r="G30" s="84" t="s">
        <v>1455</v>
      </c>
      <c r="H30" s="84" t="s">
        <v>1776</v>
      </c>
      <c r="I30" s="84" t="s">
        <v>1756</v>
      </c>
      <c r="J30" s="84" t="s">
        <v>1777</v>
      </c>
      <c r="K30" s="84" t="s">
        <v>1576</v>
      </c>
      <c r="L30" s="84" t="s">
        <v>1434</v>
      </c>
    </row>
    <row r="31" spans="1:12" ht="14.65" customHeight="1">
      <c r="B31" s="85">
        <f>IFERROR(IF(LARGE(Dashboard_Data!$L$2:$L$30,ROWS($B$31:B31))&lt;0,"",1),"")</f>
        <v>1</v>
      </c>
      <c r="C31" s="135" t="str">
        <f>IFERROR(IF(LARGE(Dashboard_Data!$L$2:$L$30,ROWS($B$31:B31))&lt;0,"",INDEX(Dashboard_Data!$A$2:$A$30,MATCH(LARGE(Dashboard_Data!$L$2:$L$30,ROWS($B$31:B31)),Dashboard_Data!$L$2:$L$30,0))),"")</f>
        <v>OSHA 1994</v>
      </c>
      <c r="D31" s="85" t="str">
        <f>IF(C31="","",IFERROR(INDEX(Dashboard_Data!$B$2:$B$30,MATCH(LARGE(Dashboard_Data!$L$2:$L$30,ROWS($B$31:B31)),Dashboard_Data!$L$2:$L$30,0)),""))</f>
        <v>Safety &amp; Health</v>
      </c>
      <c r="E31" s="85">
        <f>IF(C31="","",IFERROR(INDEX(Dashboard_Data!$D$2:$D$30,MATCH(LARGE(Dashboard_Data!$L$2:$L$30,ROWS($B$31:B31)),Dashboard_Data!$L$2:$L$30,0)),""))</f>
        <v>20</v>
      </c>
      <c r="F31" s="85">
        <f>IF(C31="","",IFERROR(INDEX(Dashboard_Data!$F$2:$F$30,MATCH(LARGE(Dashboard_Data!$L$2:$L$30,ROWS($B$31:B31)),Dashboard_Data!$L$2:$L$30,0)),""))</f>
        <v>20</v>
      </c>
      <c r="G31" s="85">
        <f>IF(C31="","",IFERROR(INDEX(Dashboard_Data!$G$2:$G$30,MATCH(LARGE(Dashboard_Data!$L$2:$L$30,ROWS($B$31:B31)),Dashboard_Data!$L$2:$L$30,0)),""))</f>
        <v>0</v>
      </c>
      <c r="H31" s="85">
        <f>IF(C31="","",IFERROR(INDEX(Dashboard_Data!$H$2:$H$30,MATCH(LARGE(Dashboard_Data!$L$2:$L$30,ROWS($B$31:B31)),Dashboard_Data!$L$2:$L$30,0)),""))</f>
        <v>0</v>
      </c>
      <c r="I31" s="86">
        <f>IF(C31="","",IFERROR(INDEX(Dashboard_Data!$I$2:$I$30,MATCH(LARGE(Dashboard_Data!$L$2:$L$30,ROWS($B$31:B31)),Dashboard_Data!$L$2:$L$30,0)),""))</f>
        <v>1</v>
      </c>
      <c r="J31" s="86">
        <f>IF(C31="","",IFERROR(INDEX(Dashboard_Data!$J$2:$J$30,MATCH(LARGE(Dashboard_Data!$L$2:$L$30,ROWS($B$31:B31)),Dashboard_Data!$L$2:$L$30,0)),""))</f>
        <v>1</v>
      </c>
      <c r="K31" s="85" t="str">
        <f>IF(C31="","",IFERROR(INDEX(Dashboard_Data!$K$2:$K$30,MATCH(LARGE(Dashboard_Data!$L$2:$L$30,ROWS($B$31:B31)),Dashboard_Data!$L$2:$L$30,0)),""))</f>
        <v>Maintain Compliance</v>
      </c>
      <c r="L31" s="85" t="str">
        <f t="shared" ref="L31:L58" si="0">IF(C31="","",IF(K31="Action Required","Assign action owner + due date",IF(K31="Pending Evaluation","Complete compliance check",IF(K31="Maintain Compliance","Maintain evidence","Improve evidence/control"))))</f>
        <v>Maintain evidence</v>
      </c>
    </row>
    <row r="32" spans="1:12" ht="14.65" customHeight="1">
      <c r="B32" s="85">
        <f>IFERROR(IF(LARGE(Dashboard_Data!$L$2:$L$30,ROWS($B$31:B32))&lt;0,"",2),"")</f>
        <v>2</v>
      </c>
      <c r="C32" s="135" t="str">
        <f>IFERROR(IF(LARGE(Dashboard_Data!$L$2:$L$30,ROWS($B$31:B32))&lt;0,"",INDEX(Dashboard_Data!$A$2:$A$30,MATCH(LARGE(Dashboard_Data!$L$2:$L$30,ROWS($B$31:B32)),Dashboard_Data!$L$2:$L$30,0))),"")</f>
        <v>EQA 1974</v>
      </c>
      <c r="D32" s="85" t="str">
        <f>IF(C32="","",IFERROR(INDEX(Dashboard_Data!$B$2:$B$30,MATCH(LARGE(Dashboard_Data!$L$2:$L$30,ROWS($B$31:B32)),Dashboard_Data!$L$2:$L$30,0)),""))</f>
        <v>Environment</v>
      </c>
      <c r="E32" s="85">
        <f>IF(C32="","",IFERROR(INDEX(Dashboard_Data!$D$2:$D$30,MATCH(LARGE(Dashboard_Data!$L$2:$L$30,ROWS($B$31:B32)),Dashboard_Data!$L$2:$L$30,0)),""))</f>
        <v>22</v>
      </c>
      <c r="F32" s="85">
        <f>IF(C32="","",IFERROR(INDEX(Dashboard_Data!$F$2:$F$30,MATCH(LARGE(Dashboard_Data!$L$2:$L$30,ROWS($B$31:B32)),Dashboard_Data!$L$2:$L$30,0)),""))</f>
        <v>22</v>
      </c>
      <c r="G32" s="85">
        <f>IF(C32="","",IFERROR(INDEX(Dashboard_Data!$G$2:$G$30,MATCH(LARGE(Dashboard_Data!$L$2:$L$30,ROWS($B$31:B32)),Dashboard_Data!$L$2:$L$30,0)),""))</f>
        <v>0</v>
      </c>
      <c r="H32" s="85">
        <f>IF(C32="","",IFERROR(INDEX(Dashboard_Data!$H$2:$H$30,MATCH(LARGE(Dashboard_Data!$L$2:$L$30,ROWS($B$31:B32)),Dashboard_Data!$L$2:$L$30,0)),""))</f>
        <v>0</v>
      </c>
      <c r="I32" s="86">
        <f>IF(C32="","",IFERROR(INDEX(Dashboard_Data!$I$2:$I$30,MATCH(LARGE(Dashboard_Data!$L$2:$L$30,ROWS($B$31:B32)),Dashboard_Data!$L$2:$L$30,0)),""))</f>
        <v>1</v>
      </c>
      <c r="J32" s="86">
        <f>IF(C32="","",IFERROR(INDEX(Dashboard_Data!$J$2:$J$30,MATCH(LARGE(Dashboard_Data!$L$2:$L$30,ROWS($B$31:B32)),Dashboard_Data!$L$2:$L$30,0)),""))</f>
        <v>1</v>
      </c>
      <c r="K32" s="85" t="str">
        <f>IF(C32="","",IFERROR(INDEX(Dashboard_Data!$K$2:$K$30,MATCH(LARGE(Dashboard_Data!$L$2:$L$30,ROWS($B$31:B32)),Dashboard_Data!$L$2:$L$30,0)),""))</f>
        <v>Maintain Compliance</v>
      </c>
      <c r="L32" s="85" t="str">
        <f t="shared" si="0"/>
        <v>Maintain evidence</v>
      </c>
    </row>
    <row r="33" spans="2:12" ht="14.65" customHeight="1">
      <c r="B33" s="85">
        <f>IFERROR(IF(LARGE(Dashboard_Data!$L$2:$L$30,ROWS($B$31:B33))&lt;0,"",3),"")</f>
        <v>3</v>
      </c>
      <c r="C33" s="135" t="str">
        <f>IFERROR(IF(LARGE(Dashboard_Data!$L$2:$L$30,ROWS($B$31:B33))&lt;0,"",INDEX(Dashboard_Data!$A$2:$A$30,MATCH(LARGE(Dashboard_Data!$L$2:$L$30,ROWS($B$31:B33)),Dashboard_Data!$L$2:$L$30,0))),"")</f>
        <v>FSA 1988</v>
      </c>
      <c r="D33" s="85" t="str">
        <f>IF(C33="","",IFERROR(INDEX(Dashboard_Data!$B$2:$B$30,MATCH(LARGE(Dashboard_Data!$L$2:$L$30,ROWS($B$31:B33)),Dashboard_Data!$L$2:$L$30,0)),""))</f>
        <v>Fire Safety</v>
      </c>
      <c r="E33" s="85">
        <f>IF(C33="","",IFERROR(INDEX(Dashboard_Data!$D$2:$D$30,MATCH(LARGE(Dashboard_Data!$L$2:$L$30,ROWS($B$31:B33)),Dashboard_Data!$L$2:$L$30,0)),""))</f>
        <v>25</v>
      </c>
      <c r="F33" s="85">
        <f>IF(C33="","",IFERROR(INDEX(Dashboard_Data!$F$2:$F$30,MATCH(LARGE(Dashboard_Data!$L$2:$L$30,ROWS($B$31:B33)),Dashboard_Data!$L$2:$L$30,0)),""))</f>
        <v>25</v>
      </c>
      <c r="G33" s="85">
        <f>IF(C33="","",IFERROR(INDEX(Dashboard_Data!$G$2:$G$30,MATCH(LARGE(Dashboard_Data!$L$2:$L$30,ROWS($B$31:B33)),Dashboard_Data!$L$2:$L$30,0)),""))</f>
        <v>0</v>
      </c>
      <c r="H33" s="85">
        <f>IF(C33="","",IFERROR(INDEX(Dashboard_Data!$H$2:$H$30,MATCH(LARGE(Dashboard_Data!$L$2:$L$30,ROWS($B$31:B33)),Dashboard_Data!$L$2:$L$30,0)),""))</f>
        <v>0</v>
      </c>
      <c r="I33" s="86">
        <f>IF(C33="","",IFERROR(INDEX(Dashboard_Data!$I$2:$I$30,MATCH(LARGE(Dashboard_Data!$L$2:$L$30,ROWS($B$31:B33)),Dashboard_Data!$L$2:$L$30,0)),""))</f>
        <v>1</v>
      </c>
      <c r="J33" s="86">
        <f>IF(C33="","",IFERROR(INDEX(Dashboard_Data!$J$2:$J$30,MATCH(LARGE(Dashboard_Data!$L$2:$L$30,ROWS($B$31:B33)),Dashboard_Data!$L$2:$L$30,0)),""))</f>
        <v>1</v>
      </c>
      <c r="K33" s="85" t="str">
        <f>IF(C33="","",IFERROR(INDEX(Dashboard_Data!$K$2:$K$30,MATCH(LARGE(Dashboard_Data!$L$2:$L$30,ROWS($B$31:B33)),Dashboard_Data!$L$2:$L$30,0)),""))</f>
        <v>Maintain Compliance</v>
      </c>
      <c r="L33" s="85" t="str">
        <f t="shared" si="0"/>
        <v>Maintain evidence</v>
      </c>
    </row>
    <row r="34" spans="2:12" ht="14.65" customHeight="1">
      <c r="B34" s="85">
        <f>IFERROR(IF(LARGE(Dashboard_Data!$L$2:$L$30,ROWS($B$31:B34))&lt;0,"",4),"")</f>
        <v>4</v>
      </c>
      <c r="C34" s="135" t="str">
        <f>IFERROR(IF(LARGE(Dashboard_Data!$L$2:$L$30,ROWS($B$31:B34))&lt;0,"",INDEX(Dashboard_Data!$A$2:$A$30,MATCH(LARGE(Dashboard_Data!$L$2:$L$30,ROWS($B$31:B34)),Dashboard_Data!$L$2:$L$30,0))),"")</f>
        <v>OSH (NADOPOD) Reg. 2004</v>
      </c>
      <c r="D34" s="85" t="str">
        <f>IF(C34="","",IFERROR(INDEX(Dashboard_Data!$B$2:$B$30,MATCH(LARGE(Dashboard_Data!$L$2:$L$30,ROWS($B$31:B34)),Dashboard_Data!$L$2:$L$30,0)),""))</f>
        <v>Safety &amp; Health</v>
      </c>
      <c r="E34" s="85">
        <f>IF(C34="","",IFERROR(INDEX(Dashboard_Data!$D$2:$D$30,MATCH(LARGE(Dashboard_Data!$L$2:$L$30,ROWS($B$31:B34)),Dashboard_Data!$L$2:$L$30,0)),""))</f>
        <v>8</v>
      </c>
      <c r="F34" s="85">
        <f>IF(C34="","",IFERROR(INDEX(Dashboard_Data!$F$2:$F$30,MATCH(LARGE(Dashboard_Data!$L$2:$L$30,ROWS($B$31:B34)),Dashboard_Data!$L$2:$L$30,0)),""))</f>
        <v>8</v>
      </c>
      <c r="G34" s="85">
        <f>IF(C34="","",IFERROR(INDEX(Dashboard_Data!$G$2:$G$30,MATCH(LARGE(Dashboard_Data!$L$2:$L$30,ROWS($B$31:B34)),Dashboard_Data!$L$2:$L$30,0)),""))</f>
        <v>0</v>
      </c>
      <c r="H34" s="85">
        <f>IF(C34="","",IFERROR(INDEX(Dashboard_Data!$H$2:$H$30,MATCH(LARGE(Dashboard_Data!$L$2:$L$30,ROWS($B$31:B34)),Dashboard_Data!$L$2:$L$30,0)),""))</f>
        <v>0</v>
      </c>
      <c r="I34" s="86">
        <f>IF(C34="","",IFERROR(INDEX(Dashboard_Data!$I$2:$I$30,MATCH(LARGE(Dashboard_Data!$L$2:$L$30,ROWS($B$31:B34)),Dashboard_Data!$L$2:$L$30,0)),""))</f>
        <v>1</v>
      </c>
      <c r="J34" s="86">
        <f>IF(C34="","",IFERROR(INDEX(Dashboard_Data!$J$2:$J$30,MATCH(LARGE(Dashboard_Data!$L$2:$L$30,ROWS($B$31:B34)),Dashboard_Data!$L$2:$L$30,0)),""))</f>
        <v>1</v>
      </c>
      <c r="K34" s="85" t="str">
        <f>IF(C34="","",IFERROR(INDEX(Dashboard_Data!$K$2:$K$30,MATCH(LARGE(Dashboard_Data!$L$2:$L$30,ROWS($B$31:B34)),Dashboard_Data!$L$2:$L$30,0)),""))</f>
        <v>Maintain Compliance</v>
      </c>
      <c r="L34" s="85" t="str">
        <f t="shared" si="0"/>
        <v>Maintain evidence</v>
      </c>
    </row>
    <row r="35" spans="2:12" ht="14.65" customHeight="1">
      <c r="B35" s="85">
        <f>IFERROR(IF(LARGE(Dashboard_Data!$L$2:$L$30,ROWS($B$31:B35))&lt;0,"",5),"")</f>
        <v>5</v>
      </c>
      <c r="C35" s="135" t="str">
        <f>IFERROR(IF(LARGE(Dashboard_Data!$L$2:$L$30,ROWS($B$31:B35))&lt;0,"",INDEX(Dashboard_Data!$A$2:$A$30,MATCH(LARGE(Dashboard_Data!$L$2:$L$30,ROWS($B$31:B35)),Dashboard_Data!$L$2:$L$30,0))),"")</f>
        <v>OSH (Noise Exp.) Reg. 2019</v>
      </c>
      <c r="D35" s="85" t="str">
        <f>IF(C35="","",IFERROR(INDEX(Dashboard_Data!$B$2:$B$30,MATCH(LARGE(Dashboard_Data!$L$2:$L$30,ROWS($B$31:B35)),Dashboard_Data!$L$2:$L$30,0)),""))</f>
        <v>Safety &amp; Health</v>
      </c>
      <c r="E35" s="85">
        <f>IF(C35="","",IFERROR(INDEX(Dashboard_Data!$D$2:$D$30,MATCH(LARGE(Dashboard_Data!$L$2:$L$30,ROWS($B$31:B35)),Dashboard_Data!$L$2:$L$30,0)),""))</f>
        <v>1</v>
      </c>
      <c r="F35" s="85">
        <f>IF(C35="","",IFERROR(INDEX(Dashboard_Data!$F$2:$F$30,MATCH(LARGE(Dashboard_Data!$L$2:$L$30,ROWS($B$31:B35)),Dashboard_Data!$L$2:$L$30,0)),""))</f>
        <v>1</v>
      </c>
      <c r="G35" s="85">
        <f>IF(C35="","",IFERROR(INDEX(Dashboard_Data!$G$2:$G$30,MATCH(LARGE(Dashboard_Data!$L$2:$L$30,ROWS($B$31:B35)),Dashboard_Data!$L$2:$L$30,0)),""))</f>
        <v>0</v>
      </c>
      <c r="H35" s="85">
        <f>IF(C35="","",IFERROR(INDEX(Dashboard_Data!$H$2:$H$30,MATCH(LARGE(Dashboard_Data!$L$2:$L$30,ROWS($B$31:B35)),Dashboard_Data!$L$2:$L$30,0)),""))</f>
        <v>0</v>
      </c>
      <c r="I35" s="86">
        <f>IF(C35="","",IFERROR(INDEX(Dashboard_Data!$I$2:$I$30,MATCH(LARGE(Dashboard_Data!$L$2:$L$30,ROWS($B$31:B35)),Dashboard_Data!$L$2:$L$30,0)),""))</f>
        <v>1</v>
      </c>
      <c r="J35" s="86">
        <f>IF(C35="","",IFERROR(INDEX(Dashboard_Data!$J$2:$J$30,MATCH(LARGE(Dashboard_Data!$L$2:$L$30,ROWS($B$31:B35)),Dashboard_Data!$L$2:$L$30,0)),""))</f>
        <v>1</v>
      </c>
      <c r="K35" s="85" t="str">
        <f>IF(C35="","",IFERROR(INDEX(Dashboard_Data!$K$2:$K$30,MATCH(LARGE(Dashboard_Data!$L$2:$L$30,ROWS($B$31:B35)),Dashboard_Data!$L$2:$L$30,0)),""))</f>
        <v>Maintain Compliance</v>
      </c>
      <c r="L35" s="85" t="str">
        <f t="shared" si="0"/>
        <v>Maintain evidence</v>
      </c>
    </row>
    <row r="36" spans="2:12" ht="14.65" customHeight="1">
      <c r="B36" s="85" t="str">
        <f>IFERROR(IF(LARGE(Dashboard_Data!$L$2:$L$30,ROWS($B$31:B36))&lt;0,"",6),"")</f>
        <v/>
      </c>
      <c r="C36" s="135" t="str">
        <f>IFERROR(IF(LARGE(Dashboard_Data!$L$2:$L$30,ROWS($B$31:B36))&lt;0,"",INDEX(Dashboard_Data!$A$2:$A$30,MATCH(LARGE(Dashboard_Data!$L$2:$L$30,ROWS($B$31:B36)),Dashboard_Data!$L$2:$L$30,0))),"")</f>
        <v/>
      </c>
      <c r="D36" s="85" t="str">
        <f>IF(C36="","",IFERROR(INDEX(Dashboard_Data!$B$2:$B$30,MATCH(LARGE(Dashboard_Data!$L$2:$L$30,ROWS($B$31:B36)),Dashboard_Data!$L$2:$L$30,0)),""))</f>
        <v/>
      </c>
      <c r="E36" s="85" t="str">
        <f>IF(C36="","",IFERROR(INDEX(Dashboard_Data!$D$2:$D$30,MATCH(LARGE(Dashboard_Data!$L$2:$L$30,ROWS($B$31:B36)),Dashboard_Data!$L$2:$L$30,0)),""))</f>
        <v/>
      </c>
      <c r="F36" s="85" t="str">
        <f>IF(C36="","",IFERROR(INDEX(Dashboard_Data!$F$2:$F$30,MATCH(LARGE(Dashboard_Data!$L$2:$L$30,ROWS($B$31:B36)),Dashboard_Data!$L$2:$L$30,0)),""))</f>
        <v/>
      </c>
      <c r="G36" s="85" t="str">
        <f>IF(C36="","",IFERROR(INDEX(Dashboard_Data!$G$2:$G$30,MATCH(LARGE(Dashboard_Data!$L$2:$L$30,ROWS($B$31:B36)),Dashboard_Data!$L$2:$L$30,0)),""))</f>
        <v/>
      </c>
      <c r="H36" s="85" t="str">
        <f>IF(C36="","",IFERROR(INDEX(Dashboard_Data!$H$2:$H$30,MATCH(LARGE(Dashboard_Data!$L$2:$L$30,ROWS($B$31:B36)),Dashboard_Data!$L$2:$L$30,0)),""))</f>
        <v/>
      </c>
      <c r="I36" s="86" t="str">
        <f>IF(C36="","",IFERROR(INDEX(Dashboard_Data!$I$2:$I$30,MATCH(LARGE(Dashboard_Data!$L$2:$L$30,ROWS($B$31:B36)),Dashboard_Data!$L$2:$L$30,0)),""))</f>
        <v/>
      </c>
      <c r="J36" s="86" t="str">
        <f>IF(C36="","",IFERROR(INDEX(Dashboard_Data!$J$2:$J$30,MATCH(LARGE(Dashboard_Data!$L$2:$L$30,ROWS($B$31:B36)),Dashboard_Data!$L$2:$L$30,0)),""))</f>
        <v/>
      </c>
      <c r="K36" s="85" t="str">
        <f>IF(C36="","",IFERROR(INDEX(Dashboard_Data!$K$2:$K$30,MATCH(LARGE(Dashboard_Data!$L$2:$L$30,ROWS($B$31:B36)),Dashboard_Data!$L$2:$L$30,0)),""))</f>
        <v/>
      </c>
      <c r="L36" s="85" t="str">
        <f t="shared" si="0"/>
        <v/>
      </c>
    </row>
    <row r="37" spans="2:12" ht="14.65" customHeight="1">
      <c r="B37" s="85" t="str">
        <f>IFERROR(IF(LARGE(Dashboard_Data!$L$2:$L$30,ROWS($B$31:B37))&lt;0,"",7),"")</f>
        <v/>
      </c>
      <c r="C37" s="135" t="str">
        <f>IFERROR(IF(LARGE(Dashboard_Data!$L$2:$L$30,ROWS($B$31:B37))&lt;0,"",INDEX(Dashboard_Data!$A$2:$A$30,MATCH(LARGE(Dashboard_Data!$L$2:$L$30,ROWS($B$31:B37)),Dashboard_Data!$L$2:$L$30,0))),"")</f>
        <v/>
      </c>
      <c r="D37" s="85" t="str">
        <f>IF(C37="","",IFERROR(INDEX(Dashboard_Data!$B$2:$B$30,MATCH(LARGE(Dashboard_Data!$L$2:$L$30,ROWS($B$31:B37)),Dashboard_Data!$L$2:$L$30,0)),""))</f>
        <v/>
      </c>
      <c r="E37" s="85" t="str">
        <f>IF(C37="","",IFERROR(INDEX(Dashboard_Data!$D$2:$D$30,MATCH(LARGE(Dashboard_Data!$L$2:$L$30,ROWS($B$31:B37)),Dashboard_Data!$L$2:$L$30,0)),""))</f>
        <v/>
      </c>
      <c r="F37" s="85" t="str">
        <f>IF(C37="","",IFERROR(INDEX(Dashboard_Data!$F$2:$F$30,MATCH(LARGE(Dashboard_Data!$L$2:$L$30,ROWS($B$31:B37)),Dashboard_Data!$L$2:$L$30,0)),""))</f>
        <v/>
      </c>
      <c r="G37" s="85" t="str">
        <f>IF(C37="","",IFERROR(INDEX(Dashboard_Data!$G$2:$G$30,MATCH(LARGE(Dashboard_Data!$L$2:$L$30,ROWS($B$31:B37)),Dashboard_Data!$L$2:$L$30,0)),""))</f>
        <v/>
      </c>
      <c r="H37" s="85" t="str">
        <f>IF(C37="","",IFERROR(INDEX(Dashboard_Data!$H$2:$H$30,MATCH(LARGE(Dashboard_Data!$L$2:$L$30,ROWS($B$31:B37)),Dashboard_Data!$L$2:$L$30,0)),""))</f>
        <v/>
      </c>
      <c r="I37" s="86" t="str">
        <f>IF(C37="","",IFERROR(INDEX(Dashboard_Data!$I$2:$I$30,MATCH(LARGE(Dashboard_Data!$L$2:$L$30,ROWS($B$31:B37)),Dashboard_Data!$L$2:$L$30,0)),""))</f>
        <v/>
      </c>
      <c r="J37" s="86" t="str">
        <f>IF(C37="","",IFERROR(INDEX(Dashboard_Data!$J$2:$J$30,MATCH(LARGE(Dashboard_Data!$L$2:$L$30,ROWS($B$31:B37)),Dashboard_Data!$L$2:$L$30,0)),""))</f>
        <v/>
      </c>
      <c r="K37" s="85" t="str">
        <f>IF(C37="","",IFERROR(INDEX(Dashboard_Data!$K$2:$K$30,MATCH(LARGE(Dashboard_Data!$L$2:$L$30,ROWS($B$31:B37)),Dashboard_Data!$L$2:$L$30,0)),""))</f>
        <v/>
      </c>
      <c r="L37" s="85" t="str">
        <f t="shared" si="0"/>
        <v/>
      </c>
    </row>
    <row r="38" spans="2:12" ht="14.65" customHeight="1">
      <c r="B38" s="85" t="str">
        <f>IFERROR(IF(LARGE(Dashboard_Data!$L$2:$L$30,ROWS($B$31:B38))&lt;0,"",8),"")</f>
        <v/>
      </c>
      <c r="C38" s="135" t="str">
        <f>IFERROR(IF(LARGE(Dashboard_Data!$L$2:$L$30,ROWS($B$31:B38))&lt;0,"",INDEX(Dashboard_Data!$A$2:$A$30,MATCH(LARGE(Dashboard_Data!$L$2:$L$30,ROWS($B$31:B38)),Dashboard_Data!$L$2:$L$30,0))),"")</f>
        <v/>
      </c>
      <c r="D38" s="85" t="str">
        <f>IF(C38="","",IFERROR(INDEX(Dashboard_Data!$B$2:$B$30,MATCH(LARGE(Dashboard_Data!$L$2:$L$30,ROWS($B$31:B38)),Dashboard_Data!$L$2:$L$30,0)),""))</f>
        <v/>
      </c>
      <c r="E38" s="85" t="str">
        <f>IF(C38="","",IFERROR(INDEX(Dashboard_Data!$D$2:$D$30,MATCH(LARGE(Dashboard_Data!$L$2:$L$30,ROWS($B$31:B38)),Dashboard_Data!$L$2:$L$30,0)),""))</f>
        <v/>
      </c>
      <c r="F38" s="85" t="str">
        <f>IF(C38="","",IFERROR(INDEX(Dashboard_Data!$F$2:$F$30,MATCH(LARGE(Dashboard_Data!$L$2:$L$30,ROWS($B$31:B38)),Dashboard_Data!$L$2:$L$30,0)),""))</f>
        <v/>
      </c>
      <c r="G38" s="85" t="str">
        <f>IF(C38="","",IFERROR(INDEX(Dashboard_Data!$G$2:$G$30,MATCH(LARGE(Dashboard_Data!$L$2:$L$30,ROWS($B$31:B38)),Dashboard_Data!$L$2:$L$30,0)),""))</f>
        <v/>
      </c>
      <c r="H38" s="85" t="str">
        <f>IF(C38="","",IFERROR(INDEX(Dashboard_Data!$H$2:$H$30,MATCH(LARGE(Dashboard_Data!$L$2:$L$30,ROWS($B$31:B38)),Dashboard_Data!$L$2:$L$30,0)),""))</f>
        <v/>
      </c>
      <c r="I38" s="86" t="str">
        <f>IF(C38="","",IFERROR(INDEX(Dashboard_Data!$I$2:$I$30,MATCH(LARGE(Dashboard_Data!$L$2:$L$30,ROWS($B$31:B38)),Dashboard_Data!$L$2:$L$30,0)),""))</f>
        <v/>
      </c>
      <c r="J38" s="86" t="str">
        <f>IF(C38="","",IFERROR(INDEX(Dashboard_Data!$J$2:$J$30,MATCH(LARGE(Dashboard_Data!$L$2:$L$30,ROWS($B$31:B38)),Dashboard_Data!$L$2:$L$30,0)),""))</f>
        <v/>
      </c>
      <c r="K38" s="85" t="str">
        <f>IF(C38="","",IFERROR(INDEX(Dashboard_Data!$K$2:$K$30,MATCH(LARGE(Dashboard_Data!$L$2:$L$30,ROWS($B$31:B38)),Dashboard_Data!$L$2:$L$30,0)),""))</f>
        <v/>
      </c>
      <c r="L38" s="85" t="str">
        <f t="shared" si="0"/>
        <v/>
      </c>
    </row>
    <row r="39" spans="2:12">
      <c r="B39" s="85" t="str">
        <f>IFERROR(IF(LARGE(Dashboard_Data!$L$2:$L$30,ROWS($B$31:B39))&lt;0,"",9),"")</f>
        <v/>
      </c>
      <c r="C39" s="135" t="str">
        <f>IFERROR(IF(LARGE(Dashboard_Data!$L$2:$L$30,ROWS($B$31:B39))&lt;0,"",INDEX(Dashboard_Data!$A$2:$A$30,MATCH(LARGE(Dashboard_Data!$L$2:$L$30,ROWS($B$31:B39)),Dashboard_Data!$L$2:$L$30,0))),"")</f>
        <v/>
      </c>
      <c r="D39" s="85" t="str">
        <f>IF(C39="","",IFERROR(INDEX(Dashboard_Data!$B$2:$B$30,MATCH(LARGE(Dashboard_Data!$L$2:$L$30,ROWS($B$31:B39)),Dashboard_Data!$L$2:$L$30,0)),""))</f>
        <v/>
      </c>
      <c r="E39" s="85" t="str">
        <f>IF(C39="","",IFERROR(INDEX(Dashboard_Data!$D$2:$D$30,MATCH(LARGE(Dashboard_Data!$L$2:$L$30,ROWS($B$31:B39)),Dashboard_Data!$L$2:$L$30,0)),""))</f>
        <v/>
      </c>
      <c r="F39" s="85" t="str">
        <f>IF(C39="","",IFERROR(INDEX(Dashboard_Data!$F$2:$F$30,MATCH(LARGE(Dashboard_Data!$L$2:$L$30,ROWS($B$31:B39)),Dashboard_Data!$L$2:$L$30,0)),""))</f>
        <v/>
      </c>
      <c r="G39" s="85" t="str">
        <f>IF(C39="","",IFERROR(INDEX(Dashboard_Data!$G$2:$G$30,MATCH(LARGE(Dashboard_Data!$L$2:$L$30,ROWS($B$31:B39)),Dashboard_Data!$L$2:$L$30,0)),""))</f>
        <v/>
      </c>
      <c r="H39" s="85" t="str">
        <f>IF(C39="","",IFERROR(INDEX(Dashboard_Data!$H$2:$H$30,MATCH(LARGE(Dashboard_Data!$L$2:$L$30,ROWS($B$31:B39)),Dashboard_Data!$L$2:$L$30,0)),""))</f>
        <v/>
      </c>
      <c r="I39" s="86" t="str">
        <f>IF(C39="","",IFERROR(INDEX(Dashboard_Data!$I$2:$I$30,MATCH(LARGE(Dashboard_Data!$L$2:$L$30,ROWS($B$31:B39)),Dashboard_Data!$L$2:$L$30,0)),""))</f>
        <v/>
      </c>
      <c r="J39" s="86" t="str">
        <f>IF(C39="","",IFERROR(INDEX(Dashboard_Data!$J$2:$J$30,MATCH(LARGE(Dashboard_Data!$L$2:$L$30,ROWS($B$31:B39)),Dashboard_Data!$L$2:$L$30,0)),""))</f>
        <v/>
      </c>
      <c r="K39" s="85" t="str">
        <f>IF(C39="","",IFERROR(INDEX(Dashboard_Data!$K$2:$K$30,MATCH(LARGE(Dashboard_Data!$L$2:$L$30,ROWS($B$31:B39)),Dashboard_Data!$L$2:$L$30,0)),""))</f>
        <v/>
      </c>
      <c r="L39" s="85" t="str">
        <f t="shared" si="0"/>
        <v/>
      </c>
    </row>
    <row r="40" spans="2:12">
      <c r="B40" s="85" t="str">
        <f>IFERROR(IF(LARGE(Dashboard_Data!$L$2:$L$30,ROWS($B$31:B40))&lt;0,"",10),"")</f>
        <v/>
      </c>
      <c r="C40" s="135" t="str">
        <f>IFERROR(IF(LARGE(Dashboard_Data!$L$2:$L$30,ROWS($B$31:B40))&lt;0,"",INDEX(Dashboard_Data!$A$2:$A$30,MATCH(LARGE(Dashboard_Data!$L$2:$L$30,ROWS($B$31:B40)),Dashboard_Data!$L$2:$L$30,0))),"")</f>
        <v/>
      </c>
      <c r="D40" s="85" t="str">
        <f>IF(C40="","",IFERROR(INDEX(Dashboard_Data!$B$2:$B$30,MATCH(LARGE(Dashboard_Data!$L$2:$L$30,ROWS($B$31:B40)),Dashboard_Data!$L$2:$L$30,0)),""))</f>
        <v/>
      </c>
      <c r="E40" s="85" t="str">
        <f>IF(C40="","",IFERROR(INDEX(Dashboard_Data!$D$2:$D$30,MATCH(LARGE(Dashboard_Data!$L$2:$L$30,ROWS($B$31:B40)),Dashboard_Data!$L$2:$L$30,0)),""))</f>
        <v/>
      </c>
      <c r="F40" s="85" t="str">
        <f>IF(C40="","",IFERROR(INDEX(Dashboard_Data!$F$2:$F$30,MATCH(LARGE(Dashboard_Data!$L$2:$L$30,ROWS($B$31:B40)),Dashboard_Data!$L$2:$L$30,0)),""))</f>
        <v/>
      </c>
      <c r="G40" s="85" t="str">
        <f>IF(C40="","",IFERROR(INDEX(Dashboard_Data!$G$2:$G$30,MATCH(LARGE(Dashboard_Data!$L$2:$L$30,ROWS($B$31:B40)),Dashboard_Data!$L$2:$L$30,0)),""))</f>
        <v/>
      </c>
      <c r="H40" s="85" t="str">
        <f>IF(C40="","",IFERROR(INDEX(Dashboard_Data!$H$2:$H$30,MATCH(LARGE(Dashboard_Data!$L$2:$L$30,ROWS($B$31:B40)),Dashboard_Data!$L$2:$L$30,0)),""))</f>
        <v/>
      </c>
      <c r="I40" s="86" t="str">
        <f>IF(C40="","",IFERROR(INDEX(Dashboard_Data!$I$2:$I$30,MATCH(LARGE(Dashboard_Data!$L$2:$L$30,ROWS($B$31:B40)),Dashboard_Data!$L$2:$L$30,0)),""))</f>
        <v/>
      </c>
      <c r="J40" s="86" t="str">
        <f>IF(C40="","",IFERROR(INDEX(Dashboard_Data!$J$2:$J$30,MATCH(LARGE(Dashboard_Data!$L$2:$L$30,ROWS($B$31:B40)),Dashboard_Data!$L$2:$L$30,0)),""))</f>
        <v/>
      </c>
      <c r="K40" s="85" t="str">
        <f>IF(C40="","",IFERROR(INDEX(Dashboard_Data!$K$2:$K$30,MATCH(LARGE(Dashboard_Data!$L$2:$L$30,ROWS($B$31:B40)),Dashboard_Data!$L$2:$L$30,0)),""))</f>
        <v/>
      </c>
      <c r="L40" s="85" t="str">
        <f t="shared" si="0"/>
        <v/>
      </c>
    </row>
    <row r="41" spans="2:12">
      <c r="B41" s="85" t="str">
        <f>IFERROR(IF(LARGE(Dashboard_Data!$L$2:$L$30,ROWS($B$31:B41))&lt;0,"",11),"")</f>
        <v/>
      </c>
      <c r="C41" s="135" t="str">
        <f>IFERROR(IF(LARGE(Dashboard_Data!$L$2:$L$30,ROWS($B$31:B41))&lt;0,"",INDEX(Dashboard_Data!$A$2:$A$30,MATCH(LARGE(Dashboard_Data!$L$2:$L$30,ROWS($B$31:B41)),Dashboard_Data!$L$2:$L$30,0))),"")</f>
        <v/>
      </c>
      <c r="D41" s="85" t="str">
        <f>IF(C41="","",IFERROR(INDEX(Dashboard_Data!$B$2:$B$30,MATCH(LARGE(Dashboard_Data!$L$2:$L$30,ROWS($B$31:B41)),Dashboard_Data!$L$2:$L$30,0)),""))</f>
        <v/>
      </c>
      <c r="E41" s="85" t="str">
        <f>IF(C41="","",IFERROR(INDEX(Dashboard_Data!$D$2:$D$30,MATCH(LARGE(Dashboard_Data!$L$2:$L$30,ROWS($B$31:B41)),Dashboard_Data!$L$2:$L$30,0)),""))</f>
        <v/>
      </c>
      <c r="F41" s="85" t="str">
        <f>IF(C41="","",IFERROR(INDEX(Dashboard_Data!$F$2:$F$30,MATCH(LARGE(Dashboard_Data!$L$2:$L$30,ROWS($B$31:B41)),Dashboard_Data!$L$2:$L$30,0)),""))</f>
        <v/>
      </c>
      <c r="G41" s="85" t="str">
        <f>IF(C41="","",IFERROR(INDEX(Dashboard_Data!$G$2:$G$30,MATCH(LARGE(Dashboard_Data!$L$2:$L$30,ROWS($B$31:B41)),Dashboard_Data!$L$2:$L$30,0)),""))</f>
        <v/>
      </c>
      <c r="H41" s="85" t="str">
        <f>IF(C41="","",IFERROR(INDEX(Dashboard_Data!$H$2:$H$30,MATCH(LARGE(Dashboard_Data!$L$2:$L$30,ROWS($B$31:B41)),Dashboard_Data!$L$2:$L$30,0)),""))</f>
        <v/>
      </c>
      <c r="I41" s="86" t="str">
        <f>IF(C41="","",IFERROR(INDEX(Dashboard_Data!$I$2:$I$30,MATCH(LARGE(Dashboard_Data!$L$2:$L$30,ROWS($B$31:B41)),Dashboard_Data!$L$2:$L$30,0)),""))</f>
        <v/>
      </c>
      <c r="J41" s="86" t="str">
        <f>IF(C41="","",IFERROR(INDEX(Dashboard_Data!$J$2:$J$30,MATCH(LARGE(Dashboard_Data!$L$2:$L$30,ROWS($B$31:B41)),Dashboard_Data!$L$2:$L$30,0)),""))</f>
        <v/>
      </c>
      <c r="K41" s="85" t="str">
        <f>IF(C41="","",IFERROR(INDEX(Dashboard_Data!$K$2:$K$30,MATCH(LARGE(Dashboard_Data!$L$2:$L$30,ROWS($B$31:B41)),Dashboard_Data!$L$2:$L$30,0)),""))</f>
        <v/>
      </c>
      <c r="L41" s="85" t="str">
        <f t="shared" si="0"/>
        <v/>
      </c>
    </row>
    <row r="42" spans="2:12">
      <c r="B42" s="85" t="str">
        <f>IFERROR(IF(LARGE(Dashboard_Data!$L$2:$L$30,ROWS($B$31:B42))&lt;0,"",12),"")</f>
        <v/>
      </c>
      <c r="C42" s="135" t="str">
        <f>IFERROR(IF(LARGE(Dashboard_Data!$L$2:$L$30,ROWS($B$31:B42))&lt;0,"",INDEX(Dashboard_Data!$A$2:$A$30,MATCH(LARGE(Dashboard_Data!$L$2:$L$30,ROWS($B$31:B42)),Dashboard_Data!$L$2:$L$30,0))),"")</f>
        <v/>
      </c>
      <c r="D42" s="85" t="str">
        <f>IF(C42="","",IFERROR(INDEX(Dashboard_Data!$B$2:$B$30,MATCH(LARGE(Dashboard_Data!$L$2:$L$30,ROWS($B$31:B42)),Dashboard_Data!$L$2:$L$30,0)),""))</f>
        <v/>
      </c>
      <c r="E42" s="85" t="str">
        <f>IF(C42="","",IFERROR(INDEX(Dashboard_Data!$D$2:$D$30,MATCH(LARGE(Dashboard_Data!$L$2:$L$30,ROWS($B$31:B42)),Dashboard_Data!$L$2:$L$30,0)),""))</f>
        <v/>
      </c>
      <c r="F42" s="85" t="str">
        <f>IF(C42="","",IFERROR(INDEX(Dashboard_Data!$F$2:$F$30,MATCH(LARGE(Dashboard_Data!$L$2:$L$30,ROWS($B$31:B42)),Dashboard_Data!$L$2:$L$30,0)),""))</f>
        <v/>
      </c>
      <c r="G42" s="85" t="str">
        <f>IF(C42="","",IFERROR(INDEX(Dashboard_Data!$G$2:$G$30,MATCH(LARGE(Dashboard_Data!$L$2:$L$30,ROWS($B$31:B42)),Dashboard_Data!$L$2:$L$30,0)),""))</f>
        <v/>
      </c>
      <c r="H42" s="85" t="str">
        <f>IF(C42="","",IFERROR(INDEX(Dashboard_Data!$H$2:$H$30,MATCH(LARGE(Dashboard_Data!$L$2:$L$30,ROWS($B$31:B42)),Dashboard_Data!$L$2:$L$30,0)),""))</f>
        <v/>
      </c>
      <c r="I42" s="86" t="str">
        <f>IF(C42="","",IFERROR(INDEX(Dashboard_Data!$I$2:$I$30,MATCH(LARGE(Dashboard_Data!$L$2:$L$30,ROWS($B$31:B42)),Dashboard_Data!$L$2:$L$30,0)),""))</f>
        <v/>
      </c>
      <c r="J42" s="86" t="str">
        <f>IF(C42="","",IFERROR(INDEX(Dashboard_Data!$J$2:$J$30,MATCH(LARGE(Dashboard_Data!$L$2:$L$30,ROWS($B$31:B42)),Dashboard_Data!$L$2:$L$30,0)),""))</f>
        <v/>
      </c>
      <c r="K42" s="85" t="str">
        <f>IF(C42="","",IFERROR(INDEX(Dashboard_Data!$K$2:$K$30,MATCH(LARGE(Dashboard_Data!$L$2:$L$30,ROWS($B$31:B42)),Dashboard_Data!$L$2:$L$30,0)),""))</f>
        <v/>
      </c>
      <c r="L42" s="85" t="str">
        <f t="shared" si="0"/>
        <v/>
      </c>
    </row>
    <row r="43" spans="2:12">
      <c r="B43" s="85" t="str">
        <f>IFERROR(IF(LARGE(Dashboard_Data!$L$2:$L$30,ROWS($B$31:B43))&lt;0,"",13),"")</f>
        <v/>
      </c>
      <c r="C43" s="135" t="str">
        <f>IFERROR(IF(LARGE(Dashboard_Data!$L$2:$L$30,ROWS($B$31:B43))&lt;0,"",INDEX(Dashboard_Data!$A$2:$A$30,MATCH(LARGE(Dashboard_Data!$L$2:$L$30,ROWS($B$31:B43)),Dashboard_Data!$L$2:$L$30,0))),"")</f>
        <v/>
      </c>
      <c r="D43" s="85" t="str">
        <f>IF(C43="","",IFERROR(INDEX(Dashboard_Data!$B$2:$B$30,MATCH(LARGE(Dashboard_Data!$L$2:$L$30,ROWS($B$31:B43)),Dashboard_Data!$L$2:$L$30,0)),""))</f>
        <v/>
      </c>
      <c r="E43" s="85" t="str">
        <f>IF(C43="","",IFERROR(INDEX(Dashboard_Data!$D$2:$D$30,MATCH(LARGE(Dashboard_Data!$L$2:$L$30,ROWS($B$31:B43)),Dashboard_Data!$L$2:$L$30,0)),""))</f>
        <v/>
      </c>
      <c r="F43" s="85" t="str">
        <f>IF(C43="","",IFERROR(INDEX(Dashboard_Data!$F$2:$F$30,MATCH(LARGE(Dashboard_Data!$L$2:$L$30,ROWS($B$31:B43)),Dashboard_Data!$L$2:$L$30,0)),""))</f>
        <v/>
      </c>
      <c r="G43" s="85" t="str">
        <f>IF(C43="","",IFERROR(INDEX(Dashboard_Data!$G$2:$G$30,MATCH(LARGE(Dashboard_Data!$L$2:$L$30,ROWS($B$31:B43)),Dashboard_Data!$L$2:$L$30,0)),""))</f>
        <v/>
      </c>
      <c r="H43" s="85" t="str">
        <f>IF(C43="","",IFERROR(INDEX(Dashboard_Data!$H$2:$H$30,MATCH(LARGE(Dashboard_Data!$L$2:$L$30,ROWS($B$31:B43)),Dashboard_Data!$L$2:$L$30,0)),""))</f>
        <v/>
      </c>
      <c r="I43" s="86" t="str">
        <f>IF(C43="","",IFERROR(INDEX(Dashboard_Data!$I$2:$I$30,MATCH(LARGE(Dashboard_Data!$L$2:$L$30,ROWS($B$31:B43)),Dashboard_Data!$L$2:$L$30,0)),""))</f>
        <v/>
      </c>
      <c r="J43" s="86" t="str">
        <f>IF(C43="","",IFERROR(INDEX(Dashboard_Data!$J$2:$J$30,MATCH(LARGE(Dashboard_Data!$L$2:$L$30,ROWS($B$31:B43)),Dashboard_Data!$L$2:$L$30,0)),""))</f>
        <v/>
      </c>
      <c r="K43" s="85" t="str">
        <f>IF(C43="","",IFERROR(INDEX(Dashboard_Data!$K$2:$K$30,MATCH(LARGE(Dashboard_Data!$L$2:$L$30,ROWS($B$31:B43)),Dashboard_Data!$L$2:$L$30,0)),""))</f>
        <v/>
      </c>
      <c r="L43" s="85" t="str">
        <f t="shared" si="0"/>
        <v/>
      </c>
    </row>
    <row r="44" spans="2:12">
      <c r="B44" s="85" t="str">
        <f>IFERROR(IF(LARGE(Dashboard_Data!$L$2:$L$30,ROWS($B$31:B44))&lt;0,"",14),"")</f>
        <v/>
      </c>
      <c r="C44" s="135" t="str">
        <f>IFERROR(IF(LARGE(Dashboard_Data!$L$2:$L$30,ROWS($B$31:B44))&lt;0,"",INDEX(Dashboard_Data!$A$2:$A$30,MATCH(LARGE(Dashboard_Data!$L$2:$L$30,ROWS($B$31:B44)),Dashboard_Data!$L$2:$L$30,0))),"")</f>
        <v/>
      </c>
      <c r="D44" s="85" t="str">
        <f>IF(C44="","",IFERROR(INDEX(Dashboard_Data!$B$2:$B$30,MATCH(LARGE(Dashboard_Data!$L$2:$L$30,ROWS($B$31:B44)),Dashboard_Data!$L$2:$L$30,0)),""))</f>
        <v/>
      </c>
      <c r="E44" s="85" t="str">
        <f>IF(C44="","",IFERROR(INDEX(Dashboard_Data!$D$2:$D$30,MATCH(LARGE(Dashboard_Data!$L$2:$L$30,ROWS($B$31:B44)),Dashboard_Data!$L$2:$L$30,0)),""))</f>
        <v/>
      </c>
      <c r="F44" s="85" t="str">
        <f>IF(C44="","",IFERROR(INDEX(Dashboard_Data!$F$2:$F$30,MATCH(LARGE(Dashboard_Data!$L$2:$L$30,ROWS($B$31:B44)),Dashboard_Data!$L$2:$L$30,0)),""))</f>
        <v/>
      </c>
      <c r="G44" s="85" t="str">
        <f>IF(C44="","",IFERROR(INDEX(Dashboard_Data!$G$2:$G$30,MATCH(LARGE(Dashboard_Data!$L$2:$L$30,ROWS($B$31:B44)),Dashboard_Data!$L$2:$L$30,0)),""))</f>
        <v/>
      </c>
      <c r="H44" s="85" t="str">
        <f>IF(C44="","",IFERROR(INDEX(Dashboard_Data!$H$2:$H$30,MATCH(LARGE(Dashboard_Data!$L$2:$L$30,ROWS($B$31:B44)),Dashboard_Data!$L$2:$L$30,0)),""))</f>
        <v/>
      </c>
      <c r="I44" s="86" t="str">
        <f>IF(C44="","",IFERROR(INDEX(Dashboard_Data!$I$2:$I$30,MATCH(LARGE(Dashboard_Data!$L$2:$L$30,ROWS($B$31:B44)),Dashboard_Data!$L$2:$L$30,0)),""))</f>
        <v/>
      </c>
      <c r="J44" s="86" t="str">
        <f>IF(C44="","",IFERROR(INDEX(Dashboard_Data!$J$2:$J$30,MATCH(LARGE(Dashboard_Data!$L$2:$L$30,ROWS($B$31:B44)),Dashboard_Data!$L$2:$L$30,0)),""))</f>
        <v/>
      </c>
      <c r="K44" s="85" t="str">
        <f>IF(C44="","",IFERROR(INDEX(Dashboard_Data!$K$2:$K$30,MATCH(LARGE(Dashboard_Data!$L$2:$L$30,ROWS($B$31:B44)),Dashboard_Data!$L$2:$L$30,0)),""))</f>
        <v/>
      </c>
      <c r="L44" s="85" t="str">
        <f t="shared" si="0"/>
        <v/>
      </c>
    </row>
    <row r="45" spans="2:12">
      <c r="B45" s="85" t="str">
        <f>IFERROR(IF(LARGE(Dashboard_Data!$L$2:$L$30,ROWS($B$31:B45))&lt;0,"",15),"")</f>
        <v/>
      </c>
      <c r="C45" s="135" t="str">
        <f>IFERROR(IF(LARGE(Dashboard_Data!$L$2:$L$30,ROWS($B$31:B45))&lt;0,"",INDEX(Dashboard_Data!$A$2:$A$30,MATCH(LARGE(Dashboard_Data!$L$2:$L$30,ROWS($B$31:B45)),Dashboard_Data!$L$2:$L$30,0))),"")</f>
        <v/>
      </c>
      <c r="D45" s="85" t="str">
        <f>IF(C45="","",IFERROR(INDEX(Dashboard_Data!$B$2:$B$30,MATCH(LARGE(Dashboard_Data!$L$2:$L$30,ROWS($B$31:B45)),Dashboard_Data!$L$2:$L$30,0)),""))</f>
        <v/>
      </c>
      <c r="E45" s="85" t="str">
        <f>IF(C45="","",IFERROR(INDEX(Dashboard_Data!$D$2:$D$30,MATCH(LARGE(Dashboard_Data!$L$2:$L$30,ROWS($B$31:B45)),Dashboard_Data!$L$2:$L$30,0)),""))</f>
        <v/>
      </c>
      <c r="F45" s="85" t="str">
        <f>IF(C45="","",IFERROR(INDEX(Dashboard_Data!$F$2:$F$30,MATCH(LARGE(Dashboard_Data!$L$2:$L$30,ROWS($B$31:B45)),Dashboard_Data!$L$2:$L$30,0)),""))</f>
        <v/>
      </c>
      <c r="G45" s="85" t="str">
        <f>IF(C45="","",IFERROR(INDEX(Dashboard_Data!$G$2:$G$30,MATCH(LARGE(Dashboard_Data!$L$2:$L$30,ROWS($B$31:B45)),Dashboard_Data!$L$2:$L$30,0)),""))</f>
        <v/>
      </c>
      <c r="H45" s="85" t="str">
        <f>IF(C45="","",IFERROR(INDEX(Dashboard_Data!$H$2:$H$30,MATCH(LARGE(Dashboard_Data!$L$2:$L$30,ROWS($B$31:B45)),Dashboard_Data!$L$2:$L$30,0)),""))</f>
        <v/>
      </c>
      <c r="I45" s="86" t="str">
        <f>IF(C45="","",IFERROR(INDEX(Dashboard_Data!$I$2:$I$30,MATCH(LARGE(Dashboard_Data!$L$2:$L$30,ROWS($B$31:B45)),Dashboard_Data!$L$2:$L$30,0)),""))</f>
        <v/>
      </c>
      <c r="J45" s="86" t="str">
        <f>IF(C45="","",IFERROR(INDEX(Dashboard_Data!$J$2:$J$30,MATCH(LARGE(Dashboard_Data!$L$2:$L$30,ROWS($B$31:B45)),Dashboard_Data!$L$2:$L$30,0)),""))</f>
        <v/>
      </c>
      <c r="K45" s="85" t="str">
        <f>IF(C45="","",IFERROR(INDEX(Dashboard_Data!$K$2:$K$30,MATCH(LARGE(Dashboard_Data!$L$2:$L$30,ROWS($B$31:B45)),Dashboard_Data!$L$2:$L$30,0)),""))</f>
        <v/>
      </c>
      <c r="L45" s="85" t="str">
        <f t="shared" si="0"/>
        <v/>
      </c>
    </row>
    <row r="46" spans="2:12">
      <c r="B46" s="85" t="str">
        <f>IFERROR(IF(LARGE(Dashboard_Data!$L$2:$L$30,ROWS($B$31:B46))&lt;0,"",16),"")</f>
        <v/>
      </c>
      <c r="C46" s="135" t="str">
        <f>IFERROR(IF(LARGE(Dashboard_Data!$L$2:$L$30,ROWS($B$31:B46))&lt;0,"",INDEX(Dashboard_Data!$A$2:$A$30,MATCH(LARGE(Dashboard_Data!$L$2:$L$30,ROWS($B$31:B46)),Dashboard_Data!$L$2:$L$30,0))),"")</f>
        <v/>
      </c>
      <c r="D46" s="85" t="str">
        <f>IF(C46="","",IFERROR(INDEX(Dashboard_Data!$B$2:$B$30,MATCH(LARGE(Dashboard_Data!$L$2:$L$30,ROWS($B$31:B46)),Dashboard_Data!$L$2:$L$30,0)),""))</f>
        <v/>
      </c>
      <c r="E46" s="85" t="str">
        <f>IF(C46="","",IFERROR(INDEX(Dashboard_Data!$D$2:$D$30,MATCH(LARGE(Dashboard_Data!$L$2:$L$30,ROWS($B$31:B46)),Dashboard_Data!$L$2:$L$30,0)),""))</f>
        <v/>
      </c>
      <c r="F46" s="85" t="str">
        <f>IF(C46="","",IFERROR(INDEX(Dashboard_Data!$F$2:$F$30,MATCH(LARGE(Dashboard_Data!$L$2:$L$30,ROWS($B$31:B46)),Dashboard_Data!$L$2:$L$30,0)),""))</f>
        <v/>
      </c>
      <c r="G46" s="85" t="str">
        <f>IF(C46="","",IFERROR(INDEX(Dashboard_Data!$G$2:$G$30,MATCH(LARGE(Dashboard_Data!$L$2:$L$30,ROWS($B$31:B46)),Dashboard_Data!$L$2:$L$30,0)),""))</f>
        <v/>
      </c>
      <c r="H46" s="85" t="str">
        <f>IF(C46="","",IFERROR(INDEX(Dashboard_Data!$H$2:$H$30,MATCH(LARGE(Dashboard_Data!$L$2:$L$30,ROWS($B$31:B46)),Dashboard_Data!$L$2:$L$30,0)),""))</f>
        <v/>
      </c>
      <c r="I46" s="86" t="str">
        <f>IF(C46="","",IFERROR(INDEX(Dashboard_Data!$I$2:$I$30,MATCH(LARGE(Dashboard_Data!$L$2:$L$30,ROWS($B$31:B46)),Dashboard_Data!$L$2:$L$30,0)),""))</f>
        <v/>
      </c>
      <c r="J46" s="86" t="str">
        <f>IF(C46="","",IFERROR(INDEX(Dashboard_Data!$J$2:$J$30,MATCH(LARGE(Dashboard_Data!$L$2:$L$30,ROWS($B$31:B46)),Dashboard_Data!$L$2:$L$30,0)),""))</f>
        <v/>
      </c>
      <c r="K46" s="85" t="str">
        <f>IF(C46="","",IFERROR(INDEX(Dashboard_Data!$K$2:$K$30,MATCH(LARGE(Dashboard_Data!$L$2:$L$30,ROWS($B$31:B46)),Dashboard_Data!$L$2:$L$30,0)),""))</f>
        <v/>
      </c>
      <c r="L46" s="85" t="str">
        <f t="shared" si="0"/>
        <v/>
      </c>
    </row>
    <row r="47" spans="2:12">
      <c r="B47" s="85" t="str">
        <f>IFERROR(IF(LARGE(Dashboard_Data!$L$2:$L$30,ROWS($B$31:B47))&lt;0,"",17),"")</f>
        <v/>
      </c>
      <c r="C47" s="135" t="str">
        <f>IFERROR(IF(LARGE(Dashboard_Data!$L$2:$L$30,ROWS($B$31:B47))&lt;0,"",INDEX(Dashboard_Data!$A$2:$A$30,MATCH(LARGE(Dashboard_Data!$L$2:$L$30,ROWS($B$31:B47)),Dashboard_Data!$L$2:$L$30,0))),"")</f>
        <v/>
      </c>
      <c r="D47" s="85" t="str">
        <f>IF(C47="","",IFERROR(INDEX(Dashboard_Data!$B$2:$B$30,MATCH(LARGE(Dashboard_Data!$L$2:$L$30,ROWS($B$31:B47)),Dashboard_Data!$L$2:$L$30,0)),""))</f>
        <v/>
      </c>
      <c r="E47" s="85" t="str">
        <f>IF(C47="","",IFERROR(INDEX(Dashboard_Data!$D$2:$D$30,MATCH(LARGE(Dashboard_Data!$L$2:$L$30,ROWS($B$31:B47)),Dashboard_Data!$L$2:$L$30,0)),""))</f>
        <v/>
      </c>
      <c r="F47" s="85" t="str">
        <f>IF(C47="","",IFERROR(INDEX(Dashboard_Data!$F$2:$F$30,MATCH(LARGE(Dashboard_Data!$L$2:$L$30,ROWS($B$31:B47)),Dashboard_Data!$L$2:$L$30,0)),""))</f>
        <v/>
      </c>
      <c r="G47" s="85" t="str">
        <f>IF(C47="","",IFERROR(INDEX(Dashboard_Data!$G$2:$G$30,MATCH(LARGE(Dashboard_Data!$L$2:$L$30,ROWS($B$31:B47)),Dashboard_Data!$L$2:$L$30,0)),""))</f>
        <v/>
      </c>
      <c r="H47" s="85" t="str">
        <f>IF(C47="","",IFERROR(INDEX(Dashboard_Data!$H$2:$H$30,MATCH(LARGE(Dashboard_Data!$L$2:$L$30,ROWS($B$31:B47)),Dashboard_Data!$L$2:$L$30,0)),""))</f>
        <v/>
      </c>
      <c r="I47" s="86" t="str">
        <f>IF(C47="","",IFERROR(INDEX(Dashboard_Data!$I$2:$I$30,MATCH(LARGE(Dashboard_Data!$L$2:$L$30,ROWS($B$31:B47)),Dashboard_Data!$L$2:$L$30,0)),""))</f>
        <v/>
      </c>
      <c r="J47" s="86" t="str">
        <f>IF(C47="","",IFERROR(INDEX(Dashboard_Data!$J$2:$J$30,MATCH(LARGE(Dashboard_Data!$L$2:$L$30,ROWS($B$31:B47)),Dashboard_Data!$L$2:$L$30,0)),""))</f>
        <v/>
      </c>
      <c r="K47" s="85" t="str">
        <f>IF(C47="","",IFERROR(INDEX(Dashboard_Data!$K$2:$K$30,MATCH(LARGE(Dashboard_Data!$L$2:$L$30,ROWS($B$31:B47)),Dashboard_Data!$L$2:$L$30,0)),""))</f>
        <v/>
      </c>
      <c r="L47" s="85" t="str">
        <f t="shared" si="0"/>
        <v/>
      </c>
    </row>
    <row r="48" spans="2:12">
      <c r="B48" s="85" t="str">
        <f>IFERROR(IF(LARGE(Dashboard_Data!$L$2:$L$30,ROWS($B$31:B48))&lt;0,"",18),"")</f>
        <v/>
      </c>
      <c r="C48" s="135" t="str">
        <f>IFERROR(IF(LARGE(Dashboard_Data!$L$2:$L$30,ROWS($B$31:B48))&lt;0,"",INDEX(Dashboard_Data!$A$2:$A$30,MATCH(LARGE(Dashboard_Data!$L$2:$L$30,ROWS($B$31:B48)),Dashboard_Data!$L$2:$L$30,0))),"")</f>
        <v/>
      </c>
      <c r="D48" s="85" t="str">
        <f>IF(C48="","",IFERROR(INDEX(Dashboard_Data!$B$2:$B$30,MATCH(LARGE(Dashboard_Data!$L$2:$L$30,ROWS($B$31:B48)),Dashboard_Data!$L$2:$L$30,0)),""))</f>
        <v/>
      </c>
      <c r="E48" s="85" t="str">
        <f>IF(C48="","",IFERROR(INDEX(Dashboard_Data!$D$2:$D$30,MATCH(LARGE(Dashboard_Data!$L$2:$L$30,ROWS($B$31:B48)),Dashboard_Data!$L$2:$L$30,0)),""))</f>
        <v/>
      </c>
      <c r="F48" s="85" t="str">
        <f>IF(C48="","",IFERROR(INDEX(Dashboard_Data!$F$2:$F$30,MATCH(LARGE(Dashboard_Data!$L$2:$L$30,ROWS($B$31:B48)),Dashboard_Data!$L$2:$L$30,0)),""))</f>
        <v/>
      </c>
      <c r="G48" s="85" t="str">
        <f>IF(C48="","",IFERROR(INDEX(Dashboard_Data!$G$2:$G$30,MATCH(LARGE(Dashboard_Data!$L$2:$L$30,ROWS($B$31:B48)),Dashboard_Data!$L$2:$L$30,0)),""))</f>
        <v/>
      </c>
      <c r="H48" s="85" t="str">
        <f>IF(C48="","",IFERROR(INDEX(Dashboard_Data!$H$2:$H$30,MATCH(LARGE(Dashboard_Data!$L$2:$L$30,ROWS($B$31:B48)),Dashboard_Data!$L$2:$L$30,0)),""))</f>
        <v/>
      </c>
      <c r="I48" s="86" t="str">
        <f>IF(C48="","",IFERROR(INDEX(Dashboard_Data!$I$2:$I$30,MATCH(LARGE(Dashboard_Data!$L$2:$L$30,ROWS($B$31:B48)),Dashboard_Data!$L$2:$L$30,0)),""))</f>
        <v/>
      </c>
      <c r="J48" s="86" t="str">
        <f>IF(C48="","",IFERROR(INDEX(Dashboard_Data!$J$2:$J$30,MATCH(LARGE(Dashboard_Data!$L$2:$L$30,ROWS($B$31:B48)),Dashboard_Data!$L$2:$L$30,0)),""))</f>
        <v/>
      </c>
      <c r="K48" s="85" t="str">
        <f>IF(C48="","",IFERROR(INDEX(Dashboard_Data!$K$2:$K$30,MATCH(LARGE(Dashboard_Data!$L$2:$L$30,ROWS($B$31:B48)),Dashboard_Data!$L$2:$L$30,0)),""))</f>
        <v/>
      </c>
      <c r="L48" s="85" t="str">
        <f t="shared" si="0"/>
        <v/>
      </c>
    </row>
    <row r="49" spans="2:12">
      <c r="B49" s="85" t="str">
        <f>IFERROR(IF(LARGE(Dashboard_Data!$L$2:$L$30,ROWS($B$31:B49))&lt;0,"",19),"")</f>
        <v/>
      </c>
      <c r="C49" s="135" t="str">
        <f>IFERROR(IF(LARGE(Dashboard_Data!$L$2:$L$30,ROWS($B$31:B49))&lt;0,"",INDEX(Dashboard_Data!$A$2:$A$30,MATCH(LARGE(Dashboard_Data!$L$2:$L$30,ROWS($B$31:B49)),Dashboard_Data!$L$2:$L$30,0))),"")</f>
        <v/>
      </c>
      <c r="D49" s="85" t="str">
        <f>IF(C49="","",IFERROR(INDEX(Dashboard_Data!$B$2:$B$30,MATCH(LARGE(Dashboard_Data!$L$2:$L$30,ROWS($B$31:B49)),Dashboard_Data!$L$2:$L$30,0)),""))</f>
        <v/>
      </c>
      <c r="E49" s="85" t="str">
        <f>IF(C49="","",IFERROR(INDEX(Dashboard_Data!$D$2:$D$30,MATCH(LARGE(Dashboard_Data!$L$2:$L$30,ROWS($B$31:B49)),Dashboard_Data!$L$2:$L$30,0)),""))</f>
        <v/>
      </c>
      <c r="F49" s="85" t="str">
        <f>IF(C49="","",IFERROR(INDEX(Dashboard_Data!$F$2:$F$30,MATCH(LARGE(Dashboard_Data!$L$2:$L$30,ROWS($B$31:B49)),Dashboard_Data!$L$2:$L$30,0)),""))</f>
        <v/>
      </c>
      <c r="G49" s="85" t="str">
        <f>IF(C49="","",IFERROR(INDEX(Dashboard_Data!$G$2:$G$30,MATCH(LARGE(Dashboard_Data!$L$2:$L$30,ROWS($B$31:B49)),Dashboard_Data!$L$2:$L$30,0)),""))</f>
        <v/>
      </c>
      <c r="H49" s="85" t="str">
        <f>IF(C49="","",IFERROR(INDEX(Dashboard_Data!$H$2:$H$30,MATCH(LARGE(Dashboard_Data!$L$2:$L$30,ROWS($B$31:B49)),Dashboard_Data!$L$2:$L$30,0)),""))</f>
        <v/>
      </c>
      <c r="I49" s="86" t="str">
        <f>IF(C49="","",IFERROR(INDEX(Dashboard_Data!$I$2:$I$30,MATCH(LARGE(Dashboard_Data!$L$2:$L$30,ROWS($B$31:B49)),Dashboard_Data!$L$2:$L$30,0)),""))</f>
        <v/>
      </c>
      <c r="J49" s="86" t="str">
        <f>IF(C49="","",IFERROR(INDEX(Dashboard_Data!$J$2:$J$30,MATCH(LARGE(Dashboard_Data!$L$2:$L$30,ROWS($B$31:B49)),Dashboard_Data!$L$2:$L$30,0)),""))</f>
        <v/>
      </c>
      <c r="K49" s="85" t="str">
        <f>IF(C49="","",IFERROR(INDEX(Dashboard_Data!$K$2:$K$30,MATCH(LARGE(Dashboard_Data!$L$2:$L$30,ROWS($B$31:B49)),Dashboard_Data!$L$2:$L$30,0)),""))</f>
        <v/>
      </c>
      <c r="L49" s="85" t="str">
        <f t="shared" si="0"/>
        <v/>
      </c>
    </row>
    <row r="50" spans="2:12">
      <c r="B50" s="85" t="str">
        <f>IFERROR(IF(LARGE(Dashboard_Data!$L$2:$L$30,ROWS($B$31:B50))&lt;0,"",20),"")</f>
        <v/>
      </c>
      <c r="C50" s="135" t="str">
        <f>IFERROR(IF(LARGE(Dashboard_Data!$L$2:$L$30,ROWS($B$31:B50))&lt;0,"",INDEX(Dashboard_Data!$A$2:$A$30,MATCH(LARGE(Dashboard_Data!$L$2:$L$30,ROWS($B$31:B50)),Dashboard_Data!$L$2:$L$30,0))),"")</f>
        <v/>
      </c>
      <c r="D50" s="85" t="str">
        <f>IF(C50="","",IFERROR(INDEX(Dashboard_Data!$B$2:$B$30,MATCH(LARGE(Dashboard_Data!$L$2:$L$30,ROWS($B$31:B50)),Dashboard_Data!$L$2:$L$30,0)),""))</f>
        <v/>
      </c>
      <c r="E50" s="85" t="str">
        <f>IF(C50="","",IFERROR(INDEX(Dashboard_Data!$D$2:$D$30,MATCH(LARGE(Dashboard_Data!$L$2:$L$30,ROWS($B$31:B50)),Dashboard_Data!$L$2:$L$30,0)),""))</f>
        <v/>
      </c>
      <c r="F50" s="85" t="str">
        <f>IF(C50="","",IFERROR(INDEX(Dashboard_Data!$F$2:$F$30,MATCH(LARGE(Dashboard_Data!$L$2:$L$30,ROWS($B$31:B50)),Dashboard_Data!$L$2:$L$30,0)),""))</f>
        <v/>
      </c>
      <c r="G50" s="85" t="str">
        <f>IF(C50="","",IFERROR(INDEX(Dashboard_Data!$G$2:$G$30,MATCH(LARGE(Dashboard_Data!$L$2:$L$30,ROWS($B$31:B50)),Dashboard_Data!$L$2:$L$30,0)),""))</f>
        <v/>
      </c>
      <c r="H50" s="85" t="str">
        <f>IF(C50="","",IFERROR(INDEX(Dashboard_Data!$H$2:$H$30,MATCH(LARGE(Dashboard_Data!$L$2:$L$30,ROWS($B$31:B50)),Dashboard_Data!$L$2:$L$30,0)),""))</f>
        <v/>
      </c>
      <c r="I50" s="86" t="str">
        <f>IF(C50="","",IFERROR(INDEX(Dashboard_Data!$I$2:$I$30,MATCH(LARGE(Dashboard_Data!$L$2:$L$30,ROWS($B$31:B50)),Dashboard_Data!$L$2:$L$30,0)),""))</f>
        <v/>
      </c>
      <c r="J50" s="86" t="str">
        <f>IF(C50="","",IFERROR(INDEX(Dashboard_Data!$J$2:$J$30,MATCH(LARGE(Dashboard_Data!$L$2:$L$30,ROWS($B$31:B50)),Dashboard_Data!$L$2:$L$30,0)),""))</f>
        <v/>
      </c>
      <c r="K50" s="85" t="str">
        <f>IF(C50="","",IFERROR(INDEX(Dashboard_Data!$K$2:$K$30,MATCH(LARGE(Dashboard_Data!$L$2:$L$30,ROWS($B$31:B50)),Dashboard_Data!$L$2:$L$30,0)),""))</f>
        <v/>
      </c>
      <c r="L50" s="85" t="str">
        <f t="shared" si="0"/>
        <v/>
      </c>
    </row>
    <row r="51" spans="2:12">
      <c r="B51" s="85" t="str">
        <f>IFERROR(IF(LARGE(Dashboard_Data!$L$2:$L$30,ROWS($B$31:B51))&lt;0,"",21),"")</f>
        <v/>
      </c>
      <c r="C51" s="135" t="str">
        <f>IFERROR(IF(LARGE(Dashboard_Data!$L$2:$L$30,ROWS($B$31:B51))&lt;0,"",INDEX(Dashboard_Data!$A$2:$A$30,MATCH(LARGE(Dashboard_Data!$L$2:$L$30,ROWS($B$31:B51)),Dashboard_Data!$L$2:$L$30,0))),"")</f>
        <v/>
      </c>
      <c r="D51" s="85" t="str">
        <f>IF(C51="","",IFERROR(INDEX(Dashboard_Data!$B$2:$B$30,MATCH(LARGE(Dashboard_Data!$L$2:$L$30,ROWS($B$31:B51)),Dashboard_Data!$L$2:$L$30,0)),""))</f>
        <v/>
      </c>
      <c r="E51" s="85" t="str">
        <f>IF(C51="","",IFERROR(INDEX(Dashboard_Data!$D$2:$D$30,MATCH(LARGE(Dashboard_Data!$L$2:$L$30,ROWS($B$31:B51)),Dashboard_Data!$L$2:$L$30,0)),""))</f>
        <v/>
      </c>
      <c r="F51" s="85" t="str">
        <f>IF(C51="","",IFERROR(INDEX(Dashboard_Data!$F$2:$F$30,MATCH(LARGE(Dashboard_Data!$L$2:$L$30,ROWS($B$31:B51)),Dashboard_Data!$L$2:$L$30,0)),""))</f>
        <v/>
      </c>
      <c r="G51" s="85" t="str">
        <f>IF(C51="","",IFERROR(INDEX(Dashboard_Data!$G$2:$G$30,MATCH(LARGE(Dashboard_Data!$L$2:$L$30,ROWS($B$31:B51)),Dashboard_Data!$L$2:$L$30,0)),""))</f>
        <v/>
      </c>
      <c r="H51" s="85" t="str">
        <f>IF(C51="","",IFERROR(INDEX(Dashboard_Data!$H$2:$H$30,MATCH(LARGE(Dashboard_Data!$L$2:$L$30,ROWS($B$31:B51)),Dashboard_Data!$L$2:$L$30,0)),""))</f>
        <v/>
      </c>
      <c r="I51" s="86" t="str">
        <f>IF(C51="","",IFERROR(INDEX(Dashboard_Data!$I$2:$I$30,MATCH(LARGE(Dashboard_Data!$L$2:$L$30,ROWS($B$31:B51)),Dashboard_Data!$L$2:$L$30,0)),""))</f>
        <v/>
      </c>
      <c r="J51" s="86" t="str">
        <f>IF(C51="","",IFERROR(INDEX(Dashboard_Data!$J$2:$J$30,MATCH(LARGE(Dashboard_Data!$L$2:$L$30,ROWS($B$31:B51)),Dashboard_Data!$L$2:$L$30,0)),""))</f>
        <v/>
      </c>
      <c r="K51" s="85" t="str">
        <f>IF(C51="","",IFERROR(INDEX(Dashboard_Data!$K$2:$K$30,MATCH(LARGE(Dashboard_Data!$L$2:$L$30,ROWS($B$31:B51)),Dashboard_Data!$L$2:$L$30,0)),""))</f>
        <v/>
      </c>
      <c r="L51" s="85" t="str">
        <f t="shared" si="0"/>
        <v/>
      </c>
    </row>
    <row r="52" spans="2:12">
      <c r="B52" s="85" t="str">
        <f>IFERROR(IF(LARGE(Dashboard_Data!$L$2:$L$30,ROWS($B$31:B52))&lt;0,"",22),"")</f>
        <v/>
      </c>
      <c r="C52" s="135" t="str">
        <f>IFERROR(IF(LARGE(Dashboard_Data!$L$2:$L$30,ROWS($B$31:B52))&lt;0,"",INDEX(Dashboard_Data!$A$2:$A$30,MATCH(LARGE(Dashboard_Data!$L$2:$L$30,ROWS($B$31:B52)),Dashboard_Data!$L$2:$L$30,0))),"")</f>
        <v/>
      </c>
      <c r="D52" s="85" t="str">
        <f>IF(C52="","",IFERROR(INDEX(Dashboard_Data!$B$2:$B$30,MATCH(LARGE(Dashboard_Data!$L$2:$L$30,ROWS($B$31:B52)),Dashboard_Data!$L$2:$L$30,0)),""))</f>
        <v/>
      </c>
      <c r="E52" s="85" t="str">
        <f>IF(C52="","",IFERROR(INDEX(Dashboard_Data!$D$2:$D$30,MATCH(LARGE(Dashboard_Data!$L$2:$L$30,ROWS($B$31:B52)),Dashboard_Data!$L$2:$L$30,0)),""))</f>
        <v/>
      </c>
      <c r="F52" s="85" t="str">
        <f>IF(C52="","",IFERROR(INDEX(Dashboard_Data!$F$2:$F$30,MATCH(LARGE(Dashboard_Data!$L$2:$L$30,ROWS($B$31:B52)),Dashboard_Data!$L$2:$L$30,0)),""))</f>
        <v/>
      </c>
      <c r="G52" s="85" t="str">
        <f>IF(C52="","",IFERROR(INDEX(Dashboard_Data!$G$2:$G$30,MATCH(LARGE(Dashboard_Data!$L$2:$L$30,ROWS($B$31:B52)),Dashboard_Data!$L$2:$L$30,0)),""))</f>
        <v/>
      </c>
      <c r="H52" s="85" t="str">
        <f>IF(C52="","",IFERROR(INDEX(Dashboard_Data!$H$2:$H$30,MATCH(LARGE(Dashboard_Data!$L$2:$L$30,ROWS($B$31:B52)),Dashboard_Data!$L$2:$L$30,0)),""))</f>
        <v/>
      </c>
      <c r="I52" s="86" t="str">
        <f>IF(C52="","",IFERROR(INDEX(Dashboard_Data!$I$2:$I$30,MATCH(LARGE(Dashboard_Data!$L$2:$L$30,ROWS($B$31:B52)),Dashboard_Data!$L$2:$L$30,0)),""))</f>
        <v/>
      </c>
      <c r="J52" s="86" t="str">
        <f>IF(C52="","",IFERROR(INDEX(Dashboard_Data!$J$2:$J$30,MATCH(LARGE(Dashboard_Data!$L$2:$L$30,ROWS($B$31:B52)),Dashboard_Data!$L$2:$L$30,0)),""))</f>
        <v/>
      </c>
      <c r="K52" s="85" t="str">
        <f>IF(C52="","",IFERROR(INDEX(Dashboard_Data!$K$2:$K$30,MATCH(LARGE(Dashboard_Data!$L$2:$L$30,ROWS($B$31:B52)),Dashboard_Data!$L$2:$L$30,0)),""))</f>
        <v/>
      </c>
      <c r="L52" s="85" t="str">
        <f t="shared" si="0"/>
        <v/>
      </c>
    </row>
    <row r="53" spans="2:12">
      <c r="B53" s="85" t="str">
        <f>IFERROR(IF(LARGE(Dashboard_Data!$L$2:$L$30,ROWS($B$31:B53))&lt;0,"",23),"")</f>
        <v/>
      </c>
      <c r="C53" s="135" t="str">
        <f>IFERROR(IF(LARGE(Dashboard_Data!$L$2:$L$30,ROWS($B$31:B53))&lt;0,"",INDEX(Dashboard_Data!$A$2:$A$30,MATCH(LARGE(Dashboard_Data!$L$2:$L$30,ROWS($B$31:B53)),Dashboard_Data!$L$2:$L$30,0))),"")</f>
        <v/>
      </c>
      <c r="D53" s="85" t="str">
        <f>IF(C53="","",IFERROR(INDEX(Dashboard_Data!$B$2:$B$30,MATCH(LARGE(Dashboard_Data!$L$2:$L$30,ROWS($B$31:B53)),Dashboard_Data!$L$2:$L$30,0)),""))</f>
        <v/>
      </c>
      <c r="E53" s="85" t="str">
        <f>IF(C53="","",IFERROR(INDEX(Dashboard_Data!$D$2:$D$30,MATCH(LARGE(Dashboard_Data!$L$2:$L$30,ROWS($B$31:B53)),Dashboard_Data!$L$2:$L$30,0)),""))</f>
        <v/>
      </c>
      <c r="F53" s="85" t="str">
        <f>IF(C53="","",IFERROR(INDEX(Dashboard_Data!$F$2:$F$30,MATCH(LARGE(Dashboard_Data!$L$2:$L$30,ROWS($B$31:B53)),Dashboard_Data!$L$2:$L$30,0)),""))</f>
        <v/>
      </c>
      <c r="G53" s="85" t="str">
        <f>IF(C53="","",IFERROR(INDEX(Dashboard_Data!$G$2:$G$30,MATCH(LARGE(Dashboard_Data!$L$2:$L$30,ROWS($B$31:B53)),Dashboard_Data!$L$2:$L$30,0)),""))</f>
        <v/>
      </c>
      <c r="H53" s="85" t="str">
        <f>IF(C53="","",IFERROR(INDEX(Dashboard_Data!$H$2:$H$30,MATCH(LARGE(Dashboard_Data!$L$2:$L$30,ROWS($B$31:B53)),Dashboard_Data!$L$2:$L$30,0)),""))</f>
        <v/>
      </c>
      <c r="I53" s="86" t="str">
        <f>IF(C53="","",IFERROR(INDEX(Dashboard_Data!$I$2:$I$30,MATCH(LARGE(Dashboard_Data!$L$2:$L$30,ROWS($B$31:B53)),Dashboard_Data!$L$2:$L$30,0)),""))</f>
        <v/>
      </c>
      <c r="J53" s="86" t="str">
        <f>IF(C53="","",IFERROR(INDEX(Dashboard_Data!$J$2:$J$30,MATCH(LARGE(Dashboard_Data!$L$2:$L$30,ROWS($B$31:B53)),Dashboard_Data!$L$2:$L$30,0)),""))</f>
        <v/>
      </c>
      <c r="K53" s="85" t="str">
        <f>IF(C53="","",IFERROR(INDEX(Dashboard_Data!$K$2:$K$30,MATCH(LARGE(Dashboard_Data!$L$2:$L$30,ROWS($B$31:B53)),Dashboard_Data!$L$2:$L$30,0)),""))</f>
        <v/>
      </c>
      <c r="L53" s="85" t="str">
        <f t="shared" si="0"/>
        <v/>
      </c>
    </row>
    <row r="54" spans="2:12">
      <c r="B54" s="85" t="str">
        <f>IFERROR(IF(LARGE(Dashboard_Data!$L$2:$L$30,ROWS($B$31:B54))&lt;0,"",24),"")</f>
        <v/>
      </c>
      <c r="C54" s="135" t="str">
        <f>IFERROR(IF(LARGE(Dashboard_Data!$L$2:$L$30,ROWS($B$31:B54))&lt;0,"",INDEX(Dashboard_Data!$A$2:$A$30,MATCH(LARGE(Dashboard_Data!$L$2:$L$30,ROWS($B$31:B54)),Dashboard_Data!$L$2:$L$30,0))),"")</f>
        <v/>
      </c>
      <c r="D54" s="85" t="str">
        <f>IF(C54="","",IFERROR(INDEX(Dashboard_Data!$B$2:$B$30,MATCH(LARGE(Dashboard_Data!$L$2:$L$30,ROWS($B$31:B54)),Dashboard_Data!$L$2:$L$30,0)),""))</f>
        <v/>
      </c>
      <c r="E54" s="85" t="str">
        <f>IF(C54="","",IFERROR(INDEX(Dashboard_Data!$D$2:$D$30,MATCH(LARGE(Dashboard_Data!$L$2:$L$30,ROWS($B$31:B54)),Dashboard_Data!$L$2:$L$30,0)),""))</f>
        <v/>
      </c>
      <c r="F54" s="85" t="str">
        <f>IF(C54="","",IFERROR(INDEX(Dashboard_Data!$F$2:$F$30,MATCH(LARGE(Dashboard_Data!$L$2:$L$30,ROWS($B$31:B54)),Dashboard_Data!$L$2:$L$30,0)),""))</f>
        <v/>
      </c>
      <c r="G54" s="85" t="str">
        <f>IF(C54="","",IFERROR(INDEX(Dashboard_Data!$G$2:$G$30,MATCH(LARGE(Dashboard_Data!$L$2:$L$30,ROWS($B$31:B54)),Dashboard_Data!$L$2:$L$30,0)),""))</f>
        <v/>
      </c>
      <c r="H54" s="85" t="str">
        <f>IF(C54="","",IFERROR(INDEX(Dashboard_Data!$H$2:$H$30,MATCH(LARGE(Dashboard_Data!$L$2:$L$30,ROWS($B$31:B54)),Dashboard_Data!$L$2:$L$30,0)),""))</f>
        <v/>
      </c>
      <c r="I54" s="86" t="str">
        <f>IF(C54="","",IFERROR(INDEX(Dashboard_Data!$I$2:$I$30,MATCH(LARGE(Dashboard_Data!$L$2:$L$30,ROWS($B$31:B54)),Dashboard_Data!$L$2:$L$30,0)),""))</f>
        <v/>
      </c>
      <c r="J54" s="86" t="str">
        <f>IF(C54="","",IFERROR(INDEX(Dashboard_Data!$J$2:$J$30,MATCH(LARGE(Dashboard_Data!$L$2:$L$30,ROWS($B$31:B54)),Dashboard_Data!$L$2:$L$30,0)),""))</f>
        <v/>
      </c>
      <c r="K54" s="85" t="str">
        <f>IF(C54="","",IFERROR(INDEX(Dashboard_Data!$K$2:$K$30,MATCH(LARGE(Dashboard_Data!$L$2:$L$30,ROWS($B$31:B54)),Dashboard_Data!$L$2:$L$30,0)),""))</f>
        <v/>
      </c>
      <c r="L54" s="85" t="str">
        <f t="shared" si="0"/>
        <v/>
      </c>
    </row>
    <row r="55" spans="2:12">
      <c r="B55" s="85" t="str">
        <f>IFERROR(IF(LARGE(Dashboard_Data!$L$2:$L$30,ROWS($B$31:B55))&lt;0,"",25),"")</f>
        <v/>
      </c>
      <c r="C55" s="135" t="str">
        <f>IFERROR(IF(LARGE(Dashboard_Data!$L$2:$L$30,ROWS($B$31:B55))&lt;0,"",INDEX(Dashboard_Data!$A$2:$A$30,MATCH(LARGE(Dashboard_Data!$L$2:$L$30,ROWS($B$31:B55)),Dashboard_Data!$L$2:$L$30,0))),"")</f>
        <v/>
      </c>
      <c r="D55" s="85" t="str">
        <f>IF(C55="","",IFERROR(INDEX(Dashboard_Data!$B$2:$B$30,MATCH(LARGE(Dashboard_Data!$L$2:$L$30,ROWS($B$31:B55)),Dashboard_Data!$L$2:$L$30,0)),""))</f>
        <v/>
      </c>
      <c r="E55" s="85" t="str">
        <f>IF(C55="","",IFERROR(INDEX(Dashboard_Data!$D$2:$D$30,MATCH(LARGE(Dashboard_Data!$L$2:$L$30,ROWS($B$31:B55)),Dashboard_Data!$L$2:$L$30,0)),""))</f>
        <v/>
      </c>
      <c r="F55" s="85" t="str">
        <f>IF(C55="","",IFERROR(INDEX(Dashboard_Data!$F$2:$F$30,MATCH(LARGE(Dashboard_Data!$L$2:$L$30,ROWS($B$31:B55)),Dashboard_Data!$L$2:$L$30,0)),""))</f>
        <v/>
      </c>
      <c r="G55" s="85" t="str">
        <f>IF(C55="","",IFERROR(INDEX(Dashboard_Data!$G$2:$G$30,MATCH(LARGE(Dashboard_Data!$L$2:$L$30,ROWS($B$31:B55)),Dashboard_Data!$L$2:$L$30,0)),""))</f>
        <v/>
      </c>
      <c r="H55" s="85" t="str">
        <f>IF(C55="","",IFERROR(INDEX(Dashboard_Data!$H$2:$H$30,MATCH(LARGE(Dashboard_Data!$L$2:$L$30,ROWS($B$31:B55)),Dashboard_Data!$L$2:$L$30,0)),""))</f>
        <v/>
      </c>
      <c r="I55" s="86" t="str">
        <f>IF(C55="","",IFERROR(INDEX(Dashboard_Data!$I$2:$I$30,MATCH(LARGE(Dashboard_Data!$L$2:$L$30,ROWS($B$31:B55)),Dashboard_Data!$L$2:$L$30,0)),""))</f>
        <v/>
      </c>
      <c r="J55" s="86" t="str">
        <f>IF(C55="","",IFERROR(INDEX(Dashboard_Data!$J$2:$J$30,MATCH(LARGE(Dashboard_Data!$L$2:$L$30,ROWS($B$31:B55)),Dashboard_Data!$L$2:$L$30,0)),""))</f>
        <v/>
      </c>
      <c r="K55" s="85" t="str">
        <f>IF(C55="","",IFERROR(INDEX(Dashboard_Data!$K$2:$K$30,MATCH(LARGE(Dashboard_Data!$L$2:$L$30,ROWS($B$31:B55)),Dashboard_Data!$L$2:$L$30,0)),""))</f>
        <v/>
      </c>
      <c r="L55" s="85" t="str">
        <f t="shared" si="0"/>
        <v/>
      </c>
    </row>
    <row r="56" spans="2:12">
      <c r="B56" s="85" t="str">
        <f>IFERROR(IF(LARGE(Dashboard_Data!$L$2:$L$30,ROWS($B$31:B56))&lt;0,"",26),"")</f>
        <v/>
      </c>
      <c r="C56" s="135" t="str">
        <f>IFERROR(IF(LARGE(Dashboard_Data!$L$2:$L$30,ROWS($B$31:B56))&lt;0,"",INDEX(Dashboard_Data!$A$2:$A$30,MATCH(LARGE(Dashboard_Data!$L$2:$L$30,ROWS($B$31:B56)),Dashboard_Data!$L$2:$L$30,0))),"")</f>
        <v/>
      </c>
      <c r="D56" s="85" t="str">
        <f>IF(C56="","",IFERROR(INDEX(Dashboard_Data!$B$2:$B$30,MATCH(LARGE(Dashboard_Data!$L$2:$L$30,ROWS($B$31:B56)),Dashboard_Data!$L$2:$L$30,0)),""))</f>
        <v/>
      </c>
      <c r="E56" s="85" t="str">
        <f>IF(C56="","",IFERROR(INDEX(Dashboard_Data!$D$2:$D$30,MATCH(LARGE(Dashboard_Data!$L$2:$L$30,ROWS($B$31:B56)),Dashboard_Data!$L$2:$L$30,0)),""))</f>
        <v/>
      </c>
      <c r="F56" s="85" t="str">
        <f>IF(C56="","",IFERROR(INDEX(Dashboard_Data!$F$2:$F$30,MATCH(LARGE(Dashboard_Data!$L$2:$L$30,ROWS($B$31:B56)),Dashboard_Data!$L$2:$L$30,0)),""))</f>
        <v/>
      </c>
      <c r="G56" s="85" t="str">
        <f>IF(C56="","",IFERROR(INDEX(Dashboard_Data!$G$2:$G$30,MATCH(LARGE(Dashboard_Data!$L$2:$L$30,ROWS($B$31:B56)),Dashboard_Data!$L$2:$L$30,0)),""))</f>
        <v/>
      </c>
      <c r="H56" s="85" t="str">
        <f>IF(C56="","",IFERROR(INDEX(Dashboard_Data!$H$2:$H$30,MATCH(LARGE(Dashboard_Data!$L$2:$L$30,ROWS($B$31:B56)),Dashboard_Data!$L$2:$L$30,0)),""))</f>
        <v/>
      </c>
      <c r="I56" s="86" t="str">
        <f>IF(C56="","",IFERROR(INDEX(Dashboard_Data!$I$2:$I$30,MATCH(LARGE(Dashboard_Data!$L$2:$L$30,ROWS($B$31:B56)),Dashboard_Data!$L$2:$L$30,0)),""))</f>
        <v/>
      </c>
      <c r="J56" s="86" t="str">
        <f>IF(C56="","",IFERROR(INDEX(Dashboard_Data!$J$2:$J$30,MATCH(LARGE(Dashboard_Data!$L$2:$L$30,ROWS($B$31:B56)),Dashboard_Data!$L$2:$L$30,0)),""))</f>
        <v/>
      </c>
      <c r="K56" s="85" t="str">
        <f>IF(C56="","",IFERROR(INDEX(Dashboard_Data!$K$2:$K$30,MATCH(LARGE(Dashboard_Data!$L$2:$L$30,ROWS($B$31:B56)),Dashboard_Data!$L$2:$L$30,0)),""))</f>
        <v/>
      </c>
      <c r="L56" s="85" t="str">
        <f t="shared" si="0"/>
        <v/>
      </c>
    </row>
    <row r="57" spans="2:12">
      <c r="B57" s="85" t="str">
        <f>IFERROR(IF(LARGE(Dashboard_Data!$L$2:$L$30,ROWS($B$31:B57))&lt;0,"",27),"")</f>
        <v/>
      </c>
      <c r="C57" s="135" t="str">
        <f>IFERROR(IF(LARGE(Dashboard_Data!$L$2:$L$30,ROWS($B$31:B57))&lt;0,"",INDEX(Dashboard_Data!$A$2:$A$30,MATCH(LARGE(Dashboard_Data!$L$2:$L$30,ROWS($B$31:B57)),Dashboard_Data!$L$2:$L$30,0))),"")</f>
        <v/>
      </c>
      <c r="D57" s="85" t="str">
        <f>IF(C57="","",IFERROR(INDEX(Dashboard_Data!$B$2:$B$30,MATCH(LARGE(Dashboard_Data!$L$2:$L$30,ROWS($B$31:B57)),Dashboard_Data!$L$2:$L$30,0)),""))</f>
        <v/>
      </c>
      <c r="E57" s="85" t="str">
        <f>IF(C57="","",IFERROR(INDEX(Dashboard_Data!$D$2:$D$30,MATCH(LARGE(Dashboard_Data!$L$2:$L$30,ROWS($B$31:B57)),Dashboard_Data!$L$2:$L$30,0)),""))</f>
        <v/>
      </c>
      <c r="F57" s="85" t="str">
        <f>IF(C57="","",IFERROR(INDEX(Dashboard_Data!$F$2:$F$30,MATCH(LARGE(Dashboard_Data!$L$2:$L$30,ROWS($B$31:B57)),Dashboard_Data!$L$2:$L$30,0)),""))</f>
        <v/>
      </c>
      <c r="G57" s="85" t="str">
        <f>IF(C57="","",IFERROR(INDEX(Dashboard_Data!$G$2:$G$30,MATCH(LARGE(Dashboard_Data!$L$2:$L$30,ROWS($B$31:B57)),Dashboard_Data!$L$2:$L$30,0)),""))</f>
        <v/>
      </c>
      <c r="H57" s="85" t="str">
        <f>IF(C57="","",IFERROR(INDEX(Dashboard_Data!$H$2:$H$30,MATCH(LARGE(Dashboard_Data!$L$2:$L$30,ROWS($B$31:B57)),Dashboard_Data!$L$2:$L$30,0)),""))</f>
        <v/>
      </c>
      <c r="I57" s="86" t="str">
        <f>IF(C57="","",IFERROR(INDEX(Dashboard_Data!$I$2:$I$30,MATCH(LARGE(Dashboard_Data!$L$2:$L$30,ROWS($B$31:B57)),Dashboard_Data!$L$2:$L$30,0)),""))</f>
        <v/>
      </c>
      <c r="J57" s="86" t="str">
        <f>IF(C57="","",IFERROR(INDEX(Dashboard_Data!$J$2:$J$30,MATCH(LARGE(Dashboard_Data!$L$2:$L$30,ROWS($B$31:B57)),Dashboard_Data!$L$2:$L$30,0)),""))</f>
        <v/>
      </c>
      <c r="K57" s="85" t="str">
        <f>IF(C57="","",IFERROR(INDEX(Dashboard_Data!$K$2:$K$30,MATCH(LARGE(Dashboard_Data!$L$2:$L$30,ROWS($B$31:B57)),Dashboard_Data!$L$2:$L$30,0)),""))</f>
        <v/>
      </c>
      <c r="L57" s="85" t="str">
        <f t="shared" si="0"/>
        <v/>
      </c>
    </row>
    <row r="58" spans="2:12">
      <c r="B58" s="85" t="str">
        <f>IFERROR(IF(LARGE(Dashboard_Data!$L$2:$L$30,ROWS($B$31:B58))&lt;0,"",18),"")</f>
        <v/>
      </c>
      <c r="C58" s="135" t="str">
        <f>IFERROR(IF(LARGE(Dashboard_Data!$L$2:$L$30,ROWS($B$31:B58))&lt;0,"",INDEX(Dashboard_Data!$A$2:$A$30,MATCH(LARGE(Dashboard_Data!$L$2:$L$30,ROWS($B$31:B58)),Dashboard_Data!$L$2:$L$30,0))),"")</f>
        <v/>
      </c>
      <c r="D58" s="85" t="str">
        <f>IF(C58="","",IFERROR(INDEX(Dashboard_Data!$B$2:$B$30,MATCH(LARGE(Dashboard_Data!$L$2:$L$30,ROWS($B$31:B58)),Dashboard_Data!$L$2:$L$30,0)),""))</f>
        <v/>
      </c>
      <c r="E58" s="85" t="str">
        <f>IF(C58="","",IFERROR(INDEX(Dashboard_Data!$D$2:$D$30,MATCH(LARGE(Dashboard_Data!$L$2:$L$30,ROWS($B$31:B58)),Dashboard_Data!$L$2:$L$30,0)),""))</f>
        <v/>
      </c>
      <c r="F58" s="85" t="str">
        <f>IF(C58="","",IFERROR(INDEX(Dashboard_Data!$F$2:$F$30,MATCH(LARGE(Dashboard_Data!$L$2:$L$30,ROWS($B$31:B58)),Dashboard_Data!$L$2:$L$30,0)),""))</f>
        <v/>
      </c>
      <c r="G58" s="85" t="str">
        <f>IF(C58="","",IFERROR(INDEX(Dashboard_Data!$G$2:$G$30,MATCH(LARGE(Dashboard_Data!$L$2:$L$30,ROWS($B$31:B58)),Dashboard_Data!$L$2:$L$30,0)),""))</f>
        <v/>
      </c>
      <c r="H58" s="85" t="str">
        <f>IF(C58="","",IFERROR(INDEX(Dashboard_Data!$H$2:$H$30,MATCH(LARGE(Dashboard_Data!$L$2:$L$30,ROWS($B$31:B58)),Dashboard_Data!$L$2:$L$30,0)),""))</f>
        <v/>
      </c>
      <c r="I58" s="86" t="str">
        <f>IF(C58="","",IFERROR(INDEX(Dashboard_Data!$I$2:$I$30,MATCH(LARGE(Dashboard_Data!$L$2:$L$30,ROWS($B$31:B58)),Dashboard_Data!$L$2:$L$30,0)),""))</f>
        <v/>
      </c>
      <c r="J58" s="86" t="str">
        <f>IF(C58="","",IFERROR(INDEX(Dashboard_Data!$J$2:$J$30,MATCH(LARGE(Dashboard_Data!$L$2:$L$30,ROWS($B$31:B58)),Dashboard_Data!$L$2:$L$30,0)),""))</f>
        <v/>
      </c>
      <c r="K58" s="85" t="str">
        <f>IF(C58="","",IFERROR(INDEX(Dashboard_Data!$K$2:$K$30,MATCH(LARGE(Dashboard_Data!$L$2:$L$30,ROWS($B$31:B58)),Dashboard_Data!$L$2:$L$30,0)),""))</f>
        <v/>
      </c>
      <c r="L58" s="85" t="str">
        <f t="shared" si="0"/>
        <v/>
      </c>
    </row>
    <row r="59" spans="2:12">
      <c r="C59" s="136"/>
    </row>
    <row r="60" spans="2:12">
      <c r="C60" s="136"/>
    </row>
    <row r="61" spans="2:12">
      <c r="C61" s="136"/>
    </row>
    <row r="62" spans="2:12">
      <c r="C62" s="136"/>
    </row>
    <row r="63" spans="2:12">
      <c r="C63" s="136"/>
    </row>
    <row r="64" spans="2:12">
      <c r="C64" s="136"/>
    </row>
    <row r="65" spans="3:3">
      <c r="C65" s="136"/>
    </row>
    <row r="66" spans="3:3">
      <c r="C66" s="136"/>
    </row>
    <row r="67" spans="3:3">
      <c r="C67" s="136"/>
    </row>
    <row r="68" spans="3:3">
      <c r="C68" s="136"/>
    </row>
    <row r="69" spans="3:3">
      <c r="C69" s="136"/>
    </row>
    <row r="70" spans="3:3">
      <c r="C70" s="136"/>
    </row>
    <row r="71" spans="3:3">
      <c r="C71" s="136"/>
    </row>
    <row r="72" spans="3:3">
      <c r="C72" s="136"/>
    </row>
    <row r="73" spans="3:3">
      <c r="C73" s="136"/>
    </row>
    <row r="74" spans="3:3">
      <c r="C74" s="136"/>
    </row>
    <row r="75" spans="3:3">
      <c r="C75" s="136"/>
    </row>
    <row r="76" spans="3:3">
      <c r="C76" s="136"/>
    </row>
    <row r="77" spans="3:3">
      <c r="C77" s="136"/>
    </row>
    <row r="78" spans="3:3">
      <c r="C78" s="136"/>
    </row>
    <row r="79" spans="3:3">
      <c r="C79" s="136"/>
    </row>
    <row r="80" spans="3:3">
      <c r="C80" s="136"/>
    </row>
    <row r="81" spans="3:3">
      <c r="C81" s="136"/>
    </row>
    <row r="82" spans="3:3">
      <c r="C82" s="136"/>
    </row>
    <row r="83" spans="3:3">
      <c r="C83" s="136"/>
    </row>
    <row r="84" spans="3:3">
      <c r="C84" s="136"/>
    </row>
    <row r="85" spans="3:3">
      <c r="C85" s="136"/>
    </row>
    <row r="86" spans="3:3">
      <c r="C86" s="136"/>
    </row>
    <row r="87" spans="3:3">
      <c r="C87" s="136"/>
    </row>
    <row r="88" spans="3:3">
      <c r="C88" s="137"/>
    </row>
    <row r="89" spans="3:3">
      <c r="C89" s="137"/>
    </row>
  </sheetData>
  <mergeCells count="45">
    <mergeCell ref="B25:L25"/>
    <mergeCell ref="B26:L26"/>
    <mergeCell ref="B27:L27"/>
    <mergeCell ref="B29:L29"/>
    <mergeCell ref="B21:C21"/>
    <mergeCell ref="E21:F21"/>
    <mergeCell ref="H21:I21"/>
    <mergeCell ref="K21:L21"/>
    <mergeCell ref="B23:L23"/>
    <mergeCell ref="B24:L24"/>
    <mergeCell ref="B19:C19"/>
    <mergeCell ref="E19:F19"/>
    <mergeCell ref="H19:I19"/>
    <mergeCell ref="K19:L19"/>
    <mergeCell ref="B20:C20"/>
    <mergeCell ref="E20:F20"/>
    <mergeCell ref="H20:I20"/>
    <mergeCell ref="K20:L20"/>
    <mergeCell ref="B17:F17"/>
    <mergeCell ref="H17:L17"/>
    <mergeCell ref="B18:C18"/>
    <mergeCell ref="E18:F18"/>
    <mergeCell ref="H18:I18"/>
    <mergeCell ref="K18:L18"/>
    <mergeCell ref="B13:L15"/>
    <mergeCell ref="B5:C5"/>
    <mergeCell ref="D5:F5"/>
    <mergeCell ref="G5:H5"/>
    <mergeCell ref="I5:L5"/>
    <mergeCell ref="B7:D7"/>
    <mergeCell ref="E7:G7"/>
    <mergeCell ref="H7:J7"/>
    <mergeCell ref="K7:L7"/>
    <mergeCell ref="B8:D10"/>
    <mergeCell ref="E8:G10"/>
    <mergeCell ref="H8:J10"/>
    <mergeCell ref="K8:L10"/>
    <mergeCell ref="B12:L12"/>
    <mergeCell ref="B1:L1"/>
    <mergeCell ref="B2:L2"/>
    <mergeCell ref="B3:L3"/>
    <mergeCell ref="B4:C4"/>
    <mergeCell ref="D4:F4"/>
    <mergeCell ref="G4:H4"/>
    <mergeCell ref="I4:L4"/>
  </mergeCells>
  <conditionalFormatting sqref="B31:B57">
    <cfRule type="notContainsBlanks" dxfId="303" priority="27">
      <formula>LEN(TRIM(B31))&gt;0</formula>
    </cfRule>
  </conditionalFormatting>
  <conditionalFormatting sqref="C31:C59">
    <cfRule type="containsText" dxfId="302" priority="1" operator="containsText" text="CIDB">
      <formula>NOT(ISERROR(SEARCH("CIDB",C31)))</formula>
    </cfRule>
    <cfRule type="containsText" dxfId="301" priority="2" operator="containsText" text="Pesticides Act">
      <formula>NOT(ISERROR(SEARCH("Pesticides Act",C31)))</formula>
    </cfRule>
    <cfRule type="containsText" dxfId="300" priority="3" operator="containsText" text="WSIA">
      <formula>NOT(ISERROR(SEARCH("WSIA",C31)))</formula>
    </cfRule>
    <cfRule type="containsText" dxfId="299" priority="4" operator="containsText" text="Sewerage Services">
      <formula>NOT(ISERROR(SEARCH("Sewerage Services",C31)))</formula>
    </cfRule>
    <cfRule type="containsText" dxfId="298" priority="5" operator="containsText" text="FSA">
      <formula>NOT(ISERROR(SEARCH("FSA",C31)))</formula>
    </cfRule>
    <cfRule type="containsText" dxfId="297" priority="6" operator="containsText" text="OSHA">
      <formula>NOT(ISERROR(SEARCH("OSHA",C31)))</formula>
    </cfRule>
    <cfRule type="containsText" dxfId="296" priority="7" operator="containsText" text="EQA">
      <formula>NOT(ISERROR(SEARCH("EQA",C31)))</formula>
    </cfRule>
    <cfRule type="containsText" dxfId="295" priority="8" operator="containsText" text="EQ">
      <formula>NOT(ISERROR(SEARCH("EQ",C31)))</formula>
    </cfRule>
    <cfRule type="containsText" dxfId="294" priority="9" operator="containsText" text="FS">
      <formula>NOT(ISERROR(SEARCH("FS",C31)))</formula>
    </cfRule>
    <cfRule type="containsText" dxfId="293" priority="10" operator="containsText" text="OSH">
      <formula>NOT(ISERROR(SEARCH("OSH",C31)))</formula>
    </cfRule>
    <cfRule type="containsText" dxfId="292" priority="11" operator="containsText" text="labelling">
      <formula>NOT(ISERROR(SEARCH("labelling",C31)))</formula>
    </cfRule>
  </conditionalFormatting>
  <conditionalFormatting sqref="C31:L57">
    <cfRule type="notContainsBlanks" dxfId="291" priority="12">
      <formula>LEN(TRIM(C31))&gt;0</formula>
    </cfRule>
  </conditionalFormatting>
  <conditionalFormatting sqref="H8:J10">
    <cfRule type="cellIs" dxfId="290" priority="25" operator="greaterThan">
      <formula>0</formula>
    </cfRule>
  </conditionalFormatting>
  <conditionalFormatting sqref="K8:L10">
    <cfRule type="cellIs" dxfId="289" priority="26" operator="greaterThan">
      <formula>0</formula>
    </cfRule>
  </conditionalFormatting>
  <dataValidations count="1">
    <dataValidation allowBlank="1" showInputMessage="1" showErrorMessage="1" prompt="Subject to organization's KPI to set the target" sqref="K20:L20" xr:uid="{36627150-17F3-475D-9032-54F3B892F39F}"/>
  </dataValidations>
  <hyperlinks>
    <hyperlink ref="C46" location="Legal!A1" display="Legal!A1" xr:uid="{052083FD-B346-4F26-98EE-8CCB9BE2F6CB}"/>
    <hyperlink ref="C31:C58" location="Legal!A1" display="Legal!A1" xr:uid="{90A1E0C1-70DA-4A61-BD68-8BB5D0FDD4CE}"/>
  </hyperlinks>
  <pageMargins left="0.45" right="0.45" top="0.75" bottom="0.75" header="0.3" footer="0.3"/>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42415-A57E-4E3E-A69B-DB539F3EFF6C}">
  <dimension ref="A1:L33"/>
  <sheetViews>
    <sheetView topLeftCell="A9" workbookViewId="0">
      <selection activeCell="H31" sqref="H31"/>
    </sheetView>
  </sheetViews>
  <sheetFormatPr defaultRowHeight="14.5"/>
  <cols>
    <col min="1" max="1" width="24" customWidth="1"/>
    <col min="2" max="2" width="18" customWidth="1"/>
    <col min="3" max="3" width="14" customWidth="1"/>
    <col min="4" max="4" width="13" customWidth="1"/>
    <col min="5" max="5" width="16" customWidth="1"/>
    <col min="6" max="6" width="10" customWidth="1"/>
    <col min="7" max="7" width="12" customWidth="1"/>
    <col min="8" max="8" width="15" customWidth="1"/>
    <col min="9" max="9" width="13" customWidth="1"/>
    <col min="10" max="10" width="17" customWidth="1"/>
    <col min="11" max="11" width="20" customWidth="1"/>
    <col min="12" max="12" width="12" customWidth="1"/>
  </cols>
  <sheetData>
    <row r="1" spans="1:12" ht="29">
      <c r="A1" s="79" t="s">
        <v>1447</v>
      </c>
      <c r="B1" s="79" t="s">
        <v>1448</v>
      </c>
      <c r="C1" s="79" t="s">
        <v>1452</v>
      </c>
      <c r="D1" s="79" t="s">
        <v>305</v>
      </c>
      <c r="E1" s="79" t="s">
        <v>1453</v>
      </c>
      <c r="F1" s="79" t="s">
        <v>1454</v>
      </c>
      <c r="G1" s="79" t="s">
        <v>1455</v>
      </c>
      <c r="H1" s="79" t="s">
        <v>1456</v>
      </c>
      <c r="I1" s="79" t="s">
        <v>1756</v>
      </c>
      <c r="J1" s="79" t="s">
        <v>1757</v>
      </c>
      <c r="K1" s="79" t="s">
        <v>1459</v>
      </c>
      <c r="L1" s="79" t="s">
        <v>1460</v>
      </c>
    </row>
    <row r="2" spans="1:12">
      <c r="A2" s="87" t="s">
        <v>2039</v>
      </c>
      <c r="B2" s="8" t="s">
        <v>1464</v>
      </c>
      <c r="C2" s="8">
        <f>COUNTA(OSHA!$B$4:$B$29)</f>
        <v>26</v>
      </c>
      <c r="D2" s="8">
        <f>COUNTIF(OSHA!$C$4:$C$29,"Applicable")</f>
        <v>20</v>
      </c>
      <c r="E2" s="8">
        <f>COUNTIF(OSHA!$C$4:$C$29,"Not Applicable")</f>
        <v>6</v>
      </c>
      <c r="F2" s="8">
        <f>COUNTIFS(OSHA!$C$4:$C$29,"Applicable",OSHA!$F$4:$F$29,"Comply")+COUNTIFS(OSHA!$C$4:$C$29,"Applicable",OSHA!$F$4:$F$29,"Compliant")+COUNTIFS(OSHA!$C$4:$C$29,"Applicable",OSHA!$F$4:$F$29,"Yes")</f>
        <v>20</v>
      </c>
      <c r="G2" s="8">
        <f>COUNTIFS(OSHA!$C$4:$C$29,"Applicable",OSHA!$F$4:$F$29,"Not Comply")+COUNTIFS(OSHA!$C$4:$C$29,"Applicable",OSHA!$F$4:$F$29,"Non-Comply")+COUNTIFS(OSHA!$C$4:$C$29,"Applicable",OSHA!$F$4:$F$29,"Non Comply")+COUNTIFS(OSHA!$C$4:$C$29,"Applicable",OSHA!$F$4:$F$29,"No")</f>
        <v>0</v>
      </c>
      <c r="H2" s="8">
        <f>MAX(0,D2-F2-G2)</f>
        <v>0</v>
      </c>
      <c r="I2" s="80">
        <f t="shared" ref="I2:I29" si="0">IF(D2=0,0,F2/D2)</f>
        <v>1</v>
      </c>
      <c r="J2" s="80">
        <f t="shared" ref="J2:J28" si="1">IF(D2=0,0,(F2+G2)/D2)</f>
        <v>1</v>
      </c>
      <c r="K2" s="8" t="str">
        <f t="shared" ref="K2:K28" si="2">IF(G2&gt;0,"Action Required",IF(H2&gt;0,"Pending Evaluation",IF(I2&gt;=0.95,"Maintain Compliance","Improve Compliance")))</f>
        <v>Maintain Compliance</v>
      </c>
      <c r="L2" s="8">
        <f>IF(D2=0,-ROW()/1000,IF(A2="OSHA 1994",7000000,IF(A2="EQA 1974",6900000,IF(OR(A2="WSIA 2006",A2="CIDB Act 1994",A2="Pesticides Act 1974",A2="Sewerage Services Act 1993",A2="FSA 1988"),6800000,IF(OR(A2="EQ (Diesel Engine) Reg. 2000",A2="EQ (Solid Waste) Reg. 2009",A2="EQ (Control of Petrol &amp; Diesel) Reg. 2007",A2="EQ (Ind. Effluent) Reg. 2009",A2="EQ (Clean Air) Reg. 2014",A2="OSH (CF) Reg. 2024",A2="EQ (SW) 2005",A2="OSH (USECHH) Reg 2000",A2="pesticides (labelling) Reg. 1984",A2="OSH (CLASS) Reg. 2013",A2="OSH (NADOPOD) Reg. 2004",A2="OSH (Noise Exp.) Reg. 2019",A2="OSH (SHC) Reg. 1996",A2="OSH (CDM) Reg. 2024",A2="FS (Fire Cert.) Reg. 2001",A2="EQ (Sewage) Reg. 2009",A2="EQ (Refrigerant) Reg. 1999"),6000000,IF(ISNUMBER(SEARCH("Order",A2)),5000000,IF(A2="ICOP Transport 2010",4000000,IF(A2="WSI (Sewerage System) Rules 2013",3000000,IF(A2="MHA Guidance",2000000,1000000))))))))+G2*1000+H2*100+(1-I2)*10-ROW()/1000)</f>
        <v>6999999.9979999997</v>
      </c>
    </row>
    <row r="3" spans="1:12">
      <c r="A3" s="8" t="s">
        <v>2040</v>
      </c>
      <c r="B3" s="8" t="s">
        <v>1464</v>
      </c>
      <c r="C3" s="8">
        <f>COUNTA(MHA!$B$4:$B$7)</f>
        <v>4</v>
      </c>
      <c r="D3" s="8">
        <f>COUNTIF(MHA!$C$4:$C$7,"Applicable")</f>
        <v>0</v>
      </c>
      <c r="E3" s="8">
        <f>COUNTIF(MHA!$C$4:$C$7,"Not Applicable")</f>
        <v>4</v>
      </c>
      <c r="F3" s="8">
        <f>COUNTIFS(MHA!$C$4:$C$7,"Applicable",MHA!$F$4:$F$7,"Comply")+COUNTIFS(MHA!$C$4:$C$7,"Applicable",MHA!$F$4:$F$7,"Compliant")+COUNTIFS(MHA!$C$4:$C$7,"Applicable",MHA!$F$4:$F$7,"Yes")</f>
        <v>0</v>
      </c>
      <c r="G3" s="8">
        <f>COUNTIFS(MHA!$C$4:$C$7,"Applicable",MHA!$F$4:$F$7,"Not Comply")+COUNTIFS(MHA!$C$4:$C$7,"Applicable",MHA!$F$4:$F$7,"Non-Comply")+COUNTIFS(MHA!$C$4:$C$7,"Applicable",MHA!$F$4:$F$7,"Non Comply")+COUNTIFS(MHA!$C$4:$C$7,"Applicable",MHA!$F$4:$F$7,"No")</f>
        <v>0</v>
      </c>
      <c r="H3" s="8">
        <f t="shared" ref="H3:H29" si="3">MAX(0,D3-F3-G3)</f>
        <v>0</v>
      </c>
      <c r="I3" s="80">
        <f t="shared" si="0"/>
        <v>0</v>
      </c>
      <c r="J3" s="80">
        <f t="shared" si="1"/>
        <v>0</v>
      </c>
      <c r="K3" s="8" t="str">
        <f t="shared" si="2"/>
        <v>Improve Compliance</v>
      </c>
      <c r="L3" s="8">
        <f t="shared" ref="L3:L27" si="4">IF(D3=0,-ROW()/1000,IF(A3="OSHA 1994",7000000,IF(A3="EQA 1974",6900000,IF(OR(A3="WSIA 2006",A3="CIDB Act 1994",A3="Pesticides Act 1974",A3="Sewerage Services Act 1993",A3="FSA 1988"),6800000,IF(OR(A3="EQ (Diesel Engine) Reg. 2000",A3="EQ (Solid Waste) Reg. 2009",A3="EQ (Control of Petrol &amp; Diesel) Reg. 2007",A3="EQ (Ind. Effluent) Reg. 2009",A3="EQ (Clean Air) Reg. 2014",A3="OSH (CF) Reg. 2024",A3="EQ (SW) 2005",A3="OSH (USECHH) Reg 2000",A3="pesticides (labelling) Reg. 1984",A3="OSH (CLASS) Reg. 2013",A3="OSH (NADOPOD) Reg. 2004",A3="OSH (Noise Exp.) Reg. 2019",A3="OSH (SHC) Reg. 1996",A3="OSH (CDM) Reg. 2024",A3="FS (Fire Cert.) Reg. 2001",A3="EQ (Sewage) Reg. 2009",A3="EQ (Refrigerant) Reg. 1999"),6000000,IF(ISNUMBER(SEARCH("Order",A3)),5000000,IF(A3="ICOP Transport 2010",4000000,IF(A3="WSI (Sewerage System) Rules 2013",3000000,IF(A3="MHA Guidance",2000000,1000000))))))))+G3*1000+H3*100+(1-I3)*10-ROW()/1000)</f>
        <v>-3.0000000000000001E-3</v>
      </c>
    </row>
    <row r="4" spans="1:12" ht="29">
      <c r="A4" s="8" t="s">
        <v>2042</v>
      </c>
      <c r="B4" s="8" t="s">
        <v>1474</v>
      </c>
      <c r="C4" s="8">
        <f>COUNTA('diesel engine'!$B$4:$B$16)</f>
        <v>13</v>
      </c>
      <c r="D4" s="8">
        <f>COUNTIF('diesel engine'!$C$4:$C$16,"Applicable")</f>
        <v>0</v>
      </c>
      <c r="E4" s="8">
        <f>COUNTIF('diesel engine'!$C$4:$C$16,"Not Applicable")</f>
        <v>13</v>
      </c>
      <c r="F4" s="8">
        <f>COUNTIFS('diesel engine'!$C$4:$C$16,"Applicable",'diesel engine'!$F$4:$F$16,"Comply")+COUNTIFS('diesel engine'!$C$4:$C$16,"Applicable",'diesel engine'!$F$4:$F$16,"Compliant")+COUNTIFS('diesel engine'!$C$4:$C$16,"Applicable",'diesel engine'!$F$4:$F$16,"Yes")</f>
        <v>0</v>
      </c>
      <c r="G4" s="8">
        <f>COUNTIFS('diesel engine'!$C$4:$C$16,"Applicable",'diesel engine'!$F$4:$F$16,"Not Comply")+COUNTIFS('diesel engine'!$C$4:$C$16,"Applicable",'diesel engine'!$F$4:$F$16,"Non-Comply")+COUNTIFS('diesel engine'!$C$4:$C$16,"Applicable",'diesel engine'!$F$4:$F$16,"Non Comply")+COUNTIFS('diesel engine'!$C$4:$C$16,"Applicable",'diesel engine'!$F$4:$F$16,"No")</f>
        <v>0</v>
      </c>
      <c r="H4" s="8">
        <f t="shared" si="3"/>
        <v>0</v>
      </c>
      <c r="I4" s="80">
        <f t="shared" si="0"/>
        <v>0</v>
      </c>
      <c r="J4" s="80">
        <f t="shared" si="1"/>
        <v>0</v>
      </c>
      <c r="K4" s="8" t="str">
        <f t="shared" si="2"/>
        <v>Improve Compliance</v>
      </c>
      <c r="L4" s="8">
        <f t="shared" si="4"/>
        <v>-4.0000000000000001E-3</v>
      </c>
    </row>
    <row r="5" spans="1:12">
      <c r="A5" s="8" t="s">
        <v>2043</v>
      </c>
      <c r="B5" s="8" t="s">
        <v>1474</v>
      </c>
      <c r="C5" s="8">
        <f>COUNTA('solid waste'!$B$4:$B$26)</f>
        <v>23</v>
      </c>
      <c r="D5" s="8">
        <f>COUNTIF('solid waste'!$C$4:$C$26,"Applicable")</f>
        <v>0</v>
      </c>
      <c r="E5" s="8">
        <f>COUNTIF('solid waste'!$C$4:$C$26,"Not Applicable")</f>
        <v>23</v>
      </c>
      <c r="F5" s="8">
        <f>COUNTIFS('solid waste'!$C$4:$C$26,"Applicable",'solid waste'!$F$4:$F$26,"Comply")+COUNTIFS('solid waste'!$C$4:$C$26,"Applicable",'solid waste'!$F$4:$F$26,"Compliant")+COUNTIFS('solid waste'!$C$4:$C$26,"Applicable",'solid waste'!$F$4:$F$26,"Yes")</f>
        <v>0</v>
      </c>
      <c r="G5" s="8">
        <f>COUNTIFS('solid waste'!$C$4:$C$26,"Applicable",'solid waste'!$F$4:$F$26,"Not Comply")+COUNTIFS('solid waste'!$C$4:$C$26,"Applicable",'solid waste'!$F$4:$F$26,"Non-Comply")+COUNTIFS('solid waste'!$C$4:$C$26,"Applicable",'solid waste'!$F$4:$F$26,"Non Comply")+COUNTIFS('solid waste'!$C$4:$C$26,"Applicable",'solid waste'!$F$4:$F$26,"No")</f>
        <v>0</v>
      </c>
      <c r="H5" s="8">
        <f t="shared" si="3"/>
        <v>0</v>
      </c>
      <c r="I5" s="80">
        <f t="shared" si="0"/>
        <v>0</v>
      </c>
      <c r="J5" s="80">
        <f t="shared" si="1"/>
        <v>0</v>
      </c>
      <c r="K5" s="8" t="str">
        <f t="shared" si="2"/>
        <v>Improve Compliance</v>
      </c>
      <c r="L5" s="8">
        <f t="shared" si="4"/>
        <v>-5.0000000000000001E-3</v>
      </c>
    </row>
    <row r="6" spans="1:12" ht="29">
      <c r="A6" s="8" t="s">
        <v>2044</v>
      </c>
      <c r="B6" s="8" t="s">
        <v>1474</v>
      </c>
      <c r="C6" s="8">
        <f>COUNTA('Control of Petrol &amp; Diesel'!$B$4:$B$16)</f>
        <v>13</v>
      </c>
      <c r="D6" s="8">
        <f>COUNTIF('Control of Petrol &amp; Diesel'!$C$4:$C$16,"Applicable")</f>
        <v>0</v>
      </c>
      <c r="E6" s="8">
        <f>COUNTIF('Control of Petrol &amp; Diesel'!$C$4:$C$16,"Not Applicable")</f>
        <v>13</v>
      </c>
      <c r="F6" s="8">
        <f>COUNTIFS('Control of Petrol &amp; Diesel'!$C$4:$C$16,"Applicable",'Control of Petrol &amp; Diesel'!$F$4:$F$16,"Comply")+COUNTIFS('Control of Petrol &amp; Diesel'!$C$4:$C$16,"Applicable",'Control of Petrol &amp; Diesel'!$F$4:$F$16,"Compliant")+COUNTIFS('Control of Petrol &amp; Diesel'!$C$4:$C$16,"Applicable",'Control of Petrol &amp; Diesel'!$F$4:$F$16,"Yes")</f>
        <v>0</v>
      </c>
      <c r="G6" s="8">
        <f>COUNTIFS('Control of Petrol &amp; Diesel'!$C$4:$C$16,"Applicable",'Control of Petrol &amp; Diesel'!$F$4:$F$16,"Not Comply")+COUNTIFS('Control of Petrol &amp; Diesel'!$C$4:$C$16,"Applicable",'Control of Petrol &amp; Diesel'!$F$4:$F$16,"Non-Comply")+COUNTIFS('Control of Petrol &amp; Diesel'!$C$4:$C$16,"Applicable",'Control of Petrol &amp; Diesel'!$F$4:$F$16,"Non Comply")+COUNTIFS('Control of Petrol &amp; Diesel'!$C$4:$C$16,"Applicable",'Control of Petrol &amp; Diesel'!$F$4:$F$16,"No")</f>
        <v>0</v>
      </c>
      <c r="H6" s="8">
        <f t="shared" si="3"/>
        <v>0</v>
      </c>
      <c r="I6" s="80">
        <f t="shared" si="0"/>
        <v>0</v>
      </c>
      <c r="J6" s="80">
        <f t="shared" si="1"/>
        <v>0</v>
      </c>
      <c r="K6" s="8" t="str">
        <f t="shared" si="2"/>
        <v>Improve Compliance</v>
      </c>
      <c r="L6" s="8">
        <f t="shared" si="4"/>
        <v>-6.0000000000000001E-3</v>
      </c>
    </row>
    <row r="7" spans="1:12">
      <c r="A7" s="8" t="s">
        <v>2045</v>
      </c>
      <c r="B7" s="8" t="s">
        <v>1474</v>
      </c>
      <c r="C7" s="8">
        <f>COUNTA(effluent!$B$4:$B$26)</f>
        <v>23</v>
      </c>
      <c r="D7" s="8">
        <f>COUNTIF(effluent!$C$4:$C$26,"Applicable")</f>
        <v>0</v>
      </c>
      <c r="E7" s="8">
        <f>COUNTIF(effluent!$C$4:$C$26,"Not Applicable")</f>
        <v>23</v>
      </c>
      <c r="F7" s="8">
        <f>COUNTIFS(effluent!$C$4:$C$26,"Applicable",effluent!$F$4:$F$26,"Comply")+COUNTIFS(effluent!$C$4:$C$26,"Applicable",effluent!$F$4:$F$26,"Compliant")+COUNTIFS(effluent!$C$4:$C$26,"Applicable",effluent!$F$4:$F$26,"Yes")</f>
        <v>0</v>
      </c>
      <c r="G7" s="8">
        <f>COUNTIFS(effluent!$C$4:$C$26,"Applicable",effluent!$F$4:$F$26,"Not Comply")+COUNTIFS(effluent!$C$4:$C$26,"Applicable",effluent!$F$4:$F$26,"Non-Comply")+COUNTIFS(effluent!$C$4:$C$26,"Applicable",effluent!$F$4:$F$26,"Non Comply")+COUNTIFS(effluent!$C$4:$C$26,"Applicable",effluent!$F$4:$F$26,"No")</f>
        <v>0</v>
      </c>
      <c r="H7" s="8">
        <f t="shared" si="3"/>
        <v>0</v>
      </c>
      <c r="I7" s="80">
        <f t="shared" si="0"/>
        <v>0</v>
      </c>
      <c r="J7" s="80">
        <f t="shared" si="1"/>
        <v>0</v>
      </c>
      <c r="K7" s="8" t="str">
        <f t="shared" si="2"/>
        <v>Improve Compliance</v>
      </c>
      <c r="L7" s="8">
        <f t="shared" si="4"/>
        <v>-7.0000000000000001E-3</v>
      </c>
    </row>
    <row r="8" spans="1:12">
      <c r="A8" s="8" t="s">
        <v>2046</v>
      </c>
      <c r="B8" s="8" t="s">
        <v>1474</v>
      </c>
      <c r="C8" s="8">
        <f>COUNTA('clean air'!$B$4:$B$27)</f>
        <v>24</v>
      </c>
      <c r="D8" s="8">
        <f>COUNTIF('clean air'!$C$4:$C$27,"Applicable")</f>
        <v>0</v>
      </c>
      <c r="E8" s="8">
        <f>COUNTIF('clean air'!$C$4:$C$27,"Not Applicable")</f>
        <v>24</v>
      </c>
      <c r="F8" s="8">
        <f>COUNTIFS('clean air'!$C$4:$C$27,"Applicable",'clean air'!$F$4:$F$27,"Comply")+COUNTIFS('clean air'!$C$4:$C$27,"Applicable",'clean air'!$F$4:$F$27,"Compliant")+COUNTIFS('clean air'!$C$4:$C$27,"Applicable",'clean air'!$F$4:$F$27,"Yes")</f>
        <v>0</v>
      </c>
      <c r="G8" s="8">
        <f>COUNTIFS('clean air'!$C$4:$C$27,"Applicable",'clean air'!$F$4:$F$27,"Not Comply")+COUNTIFS('clean air'!$C$4:$C$27,"Applicable",'clean air'!$F$4:$F$27,"Non-Comply")+COUNTIFS('clean air'!$C$4:$C$27,"Applicable",'clean air'!$F$4:$F$27,"Non Comply")+COUNTIFS('clean air'!$C$4:$C$27,"Applicable",'clean air'!$F$4:$F$27,"No")</f>
        <v>0</v>
      </c>
      <c r="H8" s="8">
        <f t="shared" si="3"/>
        <v>0</v>
      </c>
      <c r="I8" s="80">
        <f t="shared" si="0"/>
        <v>0</v>
      </c>
      <c r="J8" s="80">
        <f t="shared" si="1"/>
        <v>0</v>
      </c>
      <c r="K8" s="8" t="str">
        <f t="shared" si="2"/>
        <v>Improve Compliance</v>
      </c>
      <c r="L8" s="8">
        <f t="shared" si="4"/>
        <v>-8.0000000000000002E-3</v>
      </c>
    </row>
    <row r="9" spans="1:12">
      <c r="A9" s="8" t="s">
        <v>2047</v>
      </c>
      <c r="B9" s="8" t="s">
        <v>1464</v>
      </c>
      <c r="C9" s="8">
        <f>COUNTA(CF!$B$4:$B$22)</f>
        <v>19</v>
      </c>
      <c r="D9" s="8">
        <f>COUNTIF(CF!$C$4:$C$22,"Applicable")</f>
        <v>0</v>
      </c>
      <c r="E9" s="8">
        <f>COUNTIF(CF!$C$4:$C$22,"Not Applicable")</f>
        <v>19</v>
      </c>
      <c r="F9" s="8">
        <f>COUNTIFS(CF!$C$4:$C$22,"Applicable",CF!$F$4:$F$22,"Comply")+COUNTIFS(CF!$C$4:$C$22,"Applicable",CF!$F$4:$F$22,"Compliant")+COUNTIFS(CF!$C$4:$C$22,"Applicable",CF!$F$4:$F$22,"Yes")</f>
        <v>0</v>
      </c>
      <c r="G9" s="8">
        <f>COUNTIFS(CF!$C$4:$C$22,"Applicable",CF!$F$4:$F$22,"Not Comply")+COUNTIFS(CF!$C$4:$C$22,"Applicable",CF!$F$4:$F$22,"Non-Comply")+COUNTIFS(CF!$C$4:$C$22,"Applicable",CF!$F$4:$F$22,"Non Comply")+COUNTIFS(CF!$C$4:$C$22,"Applicable",CF!$F$4:$F$22,"No")</f>
        <v>0</v>
      </c>
      <c r="H9" s="8">
        <f t="shared" si="3"/>
        <v>0</v>
      </c>
      <c r="I9" s="80">
        <f t="shared" si="0"/>
        <v>0</v>
      </c>
      <c r="J9" s="80">
        <f t="shared" si="1"/>
        <v>0</v>
      </c>
      <c r="K9" s="8" t="str">
        <f t="shared" si="2"/>
        <v>Improve Compliance</v>
      </c>
      <c r="L9" s="8">
        <f t="shared" si="4"/>
        <v>-8.9999999999999993E-3</v>
      </c>
    </row>
    <row r="10" spans="1:12">
      <c r="A10" s="8" t="s">
        <v>2048</v>
      </c>
      <c r="B10" s="8" t="s">
        <v>1474</v>
      </c>
      <c r="C10" s="8">
        <f>COUNTA(SW!$B$4:$B$18)</f>
        <v>15</v>
      </c>
      <c r="D10" s="8">
        <f>COUNTIF(SW!$C$4:$C$18,"Applicable")</f>
        <v>0</v>
      </c>
      <c r="E10" s="8">
        <f>COUNTIF(SW!$C$4:$C$18,"Not Applicable")</f>
        <v>15</v>
      </c>
      <c r="F10" s="8">
        <f>COUNTIFS(SW!$C$4:$C$18,"Applicable",SW!$F$4:$F$18,"Comply")+COUNTIFS(SW!$C$4:$C$18,"Applicable",SW!$F$4:$F$18,"Compliant")+COUNTIFS(SW!$C$4:$C$18,"Applicable",SW!$F$4:$F$18,"Yes")</f>
        <v>0</v>
      </c>
      <c r="G10" s="8">
        <f>COUNTIFS(SW!$C$4:$C$18,"Applicable",SW!$F$4:$F$18,"Not Comply")+COUNTIFS(SW!$C$4:$C$18,"Applicable",SW!$F$4:$F$18,"Non-Comply")+COUNTIFS(SW!$C$4:$C$18,"Applicable",SW!$F$4:$F$18,"Non Comply")+COUNTIFS(SW!$C$4:$C$18,"Applicable",SW!$F$4:$F$18,"No")</f>
        <v>0</v>
      </c>
      <c r="H10" s="8">
        <f t="shared" si="3"/>
        <v>0</v>
      </c>
      <c r="I10" s="80">
        <f t="shared" si="0"/>
        <v>0</v>
      </c>
      <c r="J10" s="80">
        <f t="shared" si="1"/>
        <v>0</v>
      </c>
      <c r="K10" s="8" t="str">
        <f t="shared" si="2"/>
        <v>Improve Compliance</v>
      </c>
      <c r="L10" s="8">
        <f t="shared" si="4"/>
        <v>-0.01</v>
      </c>
    </row>
    <row r="11" spans="1:12">
      <c r="A11" s="8" t="s">
        <v>2041</v>
      </c>
      <c r="B11" s="8" t="s">
        <v>1474</v>
      </c>
      <c r="C11" s="8">
        <f>COUNTA(WSIA!$B$4:$B$37)</f>
        <v>34</v>
      </c>
      <c r="D11" s="8">
        <f>COUNTIF(WSIA!$C$4:$C$37,"Applicable")</f>
        <v>0</v>
      </c>
      <c r="E11" s="8">
        <f>COUNTIF(WSIA!$C$4:$C$37,"Not Applicable")</f>
        <v>34</v>
      </c>
      <c r="F11" s="8">
        <f>COUNTIFS(WSIA!$C$4:$C$37,"Applicable",WSIA!$F$4:$F$37,"Comply")+COUNTIFS(WSIA!$C$4:$C$37,"Applicable",WSIA!$F$4:$F$37,"Compliant")+COUNTIFS(WSIA!$C$4:$C$37,"Applicable",WSIA!$F$4:$F$37,"Yes")</f>
        <v>0</v>
      </c>
      <c r="G11" s="8">
        <f>COUNTIFS(WSIA!$C$4:$C$37,"Applicable",WSIA!$F$4:$F$37,"Not Comply")+COUNTIFS(WSIA!$C$4:$C$37,"Applicable",WSIA!$F$4:$F$37,"Non-Comply")+COUNTIFS(WSIA!$C$4:$C$37,"Applicable",WSIA!$F$4:$F$37,"Non Comply")+COUNTIFS(WSIA!$C$4:$C$37,"Applicable",WSIA!$F$4:$F$37,"No")</f>
        <v>0</v>
      </c>
      <c r="H11" s="8">
        <f t="shared" si="3"/>
        <v>0</v>
      </c>
      <c r="I11" s="80">
        <f t="shared" si="0"/>
        <v>0</v>
      </c>
      <c r="J11" s="80">
        <f t="shared" si="1"/>
        <v>0</v>
      </c>
      <c r="K11" s="8" t="str">
        <f t="shared" si="2"/>
        <v>Improve Compliance</v>
      </c>
      <c r="L11" s="8">
        <f t="shared" si="4"/>
        <v>-1.0999999999999999E-2</v>
      </c>
    </row>
    <row r="12" spans="1:12">
      <c r="A12" s="87" t="s">
        <v>2049</v>
      </c>
      <c r="B12" s="8" t="s">
        <v>1464</v>
      </c>
      <c r="C12" s="8">
        <f>COUNTA(USECHH!$B$4:$B$31)</f>
        <v>28</v>
      </c>
      <c r="D12" s="8">
        <f>COUNTIF(USECHH!$C$4:$C$31,"Applicable")</f>
        <v>0</v>
      </c>
      <c r="E12" s="8">
        <f>COUNTIF(USECHH!$C$4:$C$31,"Not Applicable")</f>
        <v>28</v>
      </c>
      <c r="F12" s="8">
        <f>COUNTIFS(USECHH!$C$4:$C$31,"Applicable",USECHH!$F$4:$F$31,"Comply")+COUNTIFS(USECHH!$C$4:$C$31,"Applicable",USECHH!$F$4:$F$31,"Compliant")+COUNTIFS(USECHH!$C$4:$C$31,"Applicable",USECHH!$F$4:$F$31,"Yes")</f>
        <v>0</v>
      </c>
      <c r="G12" s="8">
        <f>COUNTIFS(USECHH!$C$4:$C$31,"Applicable",USECHH!$F$4:$F$31,"Not Comply")+COUNTIFS(USECHH!$C$4:$C$31,"Applicable",USECHH!$F$4:$F$31,"Non-Comply")+COUNTIFS(USECHH!$C$4:$C$31,"Applicable",USECHH!$F$4:$F$31,"Non Comply")+COUNTIFS(USECHH!$C$4:$C$31,"Applicable",USECHH!$F$4:$F$31,"No")</f>
        <v>0</v>
      </c>
      <c r="H12" s="8">
        <f t="shared" si="3"/>
        <v>0</v>
      </c>
      <c r="I12" s="80">
        <f t="shared" si="0"/>
        <v>0</v>
      </c>
      <c r="J12" s="80">
        <f t="shared" si="1"/>
        <v>0</v>
      </c>
      <c r="K12" s="8" t="str">
        <f t="shared" si="2"/>
        <v>Improve Compliance</v>
      </c>
      <c r="L12" s="8">
        <f t="shared" si="4"/>
        <v>-1.2E-2</v>
      </c>
    </row>
    <row r="13" spans="1:12">
      <c r="A13" s="87" t="s">
        <v>1872</v>
      </c>
      <c r="B13" s="8" t="s">
        <v>1464</v>
      </c>
      <c r="C13" s="8">
        <f>COUNTA(CIDB!$B$4:$B$35)</f>
        <v>32</v>
      </c>
      <c r="D13" s="8">
        <f>COUNTIF(CIDB!$C$4:$C$35,"Applicable")</f>
        <v>0</v>
      </c>
      <c r="E13" s="8">
        <f>COUNTIF(CIDB!$C$4:$C$35,"Not Applicable")</f>
        <v>32</v>
      </c>
      <c r="F13" s="8">
        <f>COUNTIFS(CIDB!$C$4:$C$35,"Applicable",CIDB!$F$4:$F$35,"Comply")+COUNTIFS(CIDB!$C$4:$C$35,"Applicable",CIDB!$F$4:$F$35,"Compliant")+COUNTIFS(CIDB!$C$4:$C$35,"Applicable",CIDB!$F$4:$F$35,"Yes")</f>
        <v>0</v>
      </c>
      <c r="G13" s="8">
        <f>COUNTIFS(CIDB!$C$4:$C$35,"Applicable",CIDB!$F$4:$F$35,"Not Comply")+COUNTIFS(CIDB!$C$4:$C$35,"Applicable",CIDB!$F$4:$F$35,"Non-Comply")+COUNTIFS(CIDB!$C$4:$C$35,"Applicable",CIDB!$F$4:$F$35,"Non Comply")+COUNTIFS(CIDB!$C$4:$C$35,"Applicable",CIDB!$F$4:$F$35,"No")</f>
        <v>0</v>
      </c>
      <c r="H13" s="8">
        <f t="shared" si="3"/>
        <v>0</v>
      </c>
      <c r="I13" s="80">
        <f t="shared" si="0"/>
        <v>0</v>
      </c>
      <c r="J13" s="80">
        <f t="shared" si="1"/>
        <v>0</v>
      </c>
      <c r="K13" s="8" t="str">
        <f t="shared" si="2"/>
        <v>Improve Compliance</v>
      </c>
      <c r="L13" s="8">
        <f t="shared" si="4"/>
        <v>-1.2999999999999999E-2</v>
      </c>
    </row>
    <row r="14" spans="1:12">
      <c r="A14" s="87" t="s">
        <v>2050</v>
      </c>
      <c r="B14" s="8" t="s">
        <v>1464</v>
      </c>
      <c r="C14" s="8">
        <f>COUNTA('ICOP Transport'!$B$4:$B$26)</f>
        <v>23</v>
      </c>
      <c r="D14" s="8">
        <f>COUNTIF('ICOP Transport'!$C$4:$C$26,"Applicable")</f>
        <v>0</v>
      </c>
      <c r="E14" s="8">
        <f>COUNTIF('ICOP Transport'!$C$4:$C$26,"Not Applicable")</f>
        <v>23</v>
      </c>
      <c r="F14" s="8">
        <f>COUNTIFS('ICOP Transport'!$C$4:$C$26,"Applicable",'ICOP Transport'!$F$4:$F$26,"Comply")+COUNTIFS('ICOP Transport'!$C$4:$C$26,"Applicable",'ICOP Transport'!$F$4:$F$26,"Compliant")+COUNTIFS('ICOP Transport'!$C$4:$C$26,"Applicable",'ICOP Transport'!$F$4:$F$26,"Yes")</f>
        <v>0</v>
      </c>
      <c r="G14" s="8">
        <f>COUNTIFS('ICOP Transport'!$C$4:$C$26,"Applicable",'ICOP Transport'!$F$4:$F$26,"Not Comply")+COUNTIFS('ICOP Transport'!$C$4:$C$26,"Applicable",'ICOP Transport'!$F$4:$F$26,"Non-Comply")+COUNTIFS('ICOP Transport'!$C$4:$C$26,"Applicable",'ICOP Transport'!$F$4:$F$26,"Non Comply")+COUNTIFS('ICOP Transport'!$C$4:$C$26,"Applicable",'ICOP Transport'!$F$4:$F$26,"No")</f>
        <v>0</v>
      </c>
      <c r="H14" s="8">
        <f t="shared" si="3"/>
        <v>0</v>
      </c>
      <c r="I14" s="80">
        <f t="shared" si="0"/>
        <v>0</v>
      </c>
      <c r="J14" s="80">
        <f t="shared" si="1"/>
        <v>0</v>
      </c>
      <c r="K14" s="8" t="str">
        <f t="shared" si="2"/>
        <v>Improve Compliance</v>
      </c>
      <c r="L14" s="8">
        <f t="shared" si="4"/>
        <v>-1.4E-2</v>
      </c>
    </row>
    <row r="15" spans="1:12" ht="29">
      <c r="A15" s="87" t="s">
        <v>2062</v>
      </c>
      <c r="B15" s="8" t="s">
        <v>1464</v>
      </c>
      <c r="C15" s="8">
        <f>COUNTA('pesticides labelling'!$B$4:$B$23)</f>
        <v>20</v>
      </c>
      <c r="D15" s="8">
        <f>COUNTIF('pesticides labelling'!$C$4:$C$23,"Applicable")</f>
        <v>0</v>
      </c>
      <c r="E15" s="8">
        <f>COUNTIF('pesticides labelling'!$C$4:$C$23,"Not Applicable")</f>
        <v>20</v>
      </c>
      <c r="F15" s="8">
        <f>COUNTIFS('pesticides labelling'!$C$4:$C$23,"Applicable",'pesticides labelling'!$F$4:$F$23,"Comply")+COUNTIFS('pesticides labelling'!$C$4:$C$23,"Applicable",'pesticides labelling'!$F$4:$F$23,"Compliant")+COUNTIFS('pesticides labelling'!$C$4:$C$23,"Applicable",'pesticides labelling'!$F$4:$F$23,"Yes")</f>
        <v>0</v>
      </c>
      <c r="G15" s="8">
        <f>COUNTIFS('pesticides labelling'!$C$4:$C$23,"Applicable",'pesticides labelling'!$F$4:$F$23,"Not Comply")+COUNTIFS('pesticides labelling'!$C$4:$C$23,"Applicable",'pesticides labelling'!$F$4:$F$23,"Non-Comply")+COUNTIFS('pesticides labelling'!$C$4:$C$23,"Applicable",'pesticides labelling'!$F$4:$F$23,"Non Comply")+COUNTIFS('pesticides labelling'!$C$4:$C$23,"Applicable",'pesticides labelling'!$F$4:$F$23,"No")</f>
        <v>0</v>
      </c>
      <c r="H15" s="8">
        <f t="shared" si="3"/>
        <v>0</v>
      </c>
      <c r="I15" s="80">
        <f t="shared" si="0"/>
        <v>0</v>
      </c>
      <c r="J15" s="80">
        <f t="shared" si="1"/>
        <v>0</v>
      </c>
      <c r="K15" s="8" t="str">
        <f t="shared" si="2"/>
        <v>Improve Compliance</v>
      </c>
      <c r="L15" s="8">
        <f t="shared" si="4"/>
        <v>-1.4999999999999999E-2</v>
      </c>
    </row>
    <row r="16" spans="1:12">
      <c r="A16" s="87" t="s">
        <v>1014</v>
      </c>
      <c r="B16" s="8" t="s">
        <v>1464</v>
      </c>
      <c r="C16" s="8">
        <f>COUNTA(Pesticides!$B$4:$B$20)</f>
        <v>17</v>
      </c>
      <c r="D16" s="8">
        <f>COUNTIF(Pesticides!$C$4:$C$20,"Applicable")</f>
        <v>0</v>
      </c>
      <c r="E16" s="8">
        <f>COUNTIF(Pesticides!$C$4:$C$20,"Not Applicable")</f>
        <v>17</v>
      </c>
      <c r="F16" s="8">
        <f>COUNTIFS(Pesticides!$C$4:$C$20,"Applicable",Pesticides!$F$4:$F$20,"Comply")+COUNTIFS(Pesticides!$C$4:$C$20,"Applicable",Pesticides!$F$4:$F$20,"Compliant")+COUNTIFS(Pesticides!$C$4:$C$20,"Applicable",Pesticides!$F$4:$F$20,"Yes")</f>
        <v>0</v>
      </c>
      <c r="G16" s="8">
        <f>COUNTIFS(Pesticides!$C$4:$C$20,"Applicable",Pesticides!$F$4:$F$20,"Not Comply")+COUNTIFS(Pesticides!$C$4:$C$20,"Applicable",Pesticides!$F$4:$F$20,"Non-Comply")+COUNTIFS(Pesticides!$C$4:$C$20,"Applicable",Pesticides!$F$4:$F$20,"Non Comply")+COUNTIFS(Pesticides!$C$4:$C$20,"Applicable",Pesticides!$F$4:$F$20,"No")</f>
        <v>0</v>
      </c>
      <c r="H16" s="8">
        <f t="shared" si="3"/>
        <v>0</v>
      </c>
      <c r="I16" s="80">
        <f t="shared" si="0"/>
        <v>0</v>
      </c>
      <c r="J16" s="80">
        <f t="shared" si="1"/>
        <v>0</v>
      </c>
      <c r="K16" s="8" t="str">
        <f t="shared" si="2"/>
        <v>Improve Compliance</v>
      </c>
      <c r="L16" s="8">
        <f t="shared" si="4"/>
        <v>-1.6E-2</v>
      </c>
    </row>
    <row r="17" spans="1:12" ht="29">
      <c r="A17" s="87" t="s">
        <v>2052</v>
      </c>
      <c r="B17" s="8" t="s">
        <v>1474</v>
      </c>
      <c r="C17" s="8">
        <f>COUNTA('sewerage system'!$B$4:$B$34)</f>
        <v>31</v>
      </c>
      <c r="D17" s="8">
        <f>COUNTIF('sewerage system'!$C$4:$C$34,"Applicable")</f>
        <v>0</v>
      </c>
      <c r="E17" s="8">
        <f>COUNTIF('sewerage system'!$C$4:$C$34,"Not Applicable")</f>
        <v>31</v>
      </c>
      <c r="F17" s="8">
        <f>COUNTIFS('sewerage system'!$C$4:$C$34,"Applicable",'sewerage system'!$F$4:$F$34,"Comply")+COUNTIFS('sewerage system'!$C$4:$C$34,"Applicable",'sewerage system'!$F$4:$F$34,"Compliant")+COUNTIFS('sewerage system'!$C$4:$C$34,"Applicable",'sewerage system'!$F$4:$F$34,"Yes")</f>
        <v>0</v>
      </c>
      <c r="G17" s="8">
        <f>COUNTIFS('sewerage system'!$C$4:$C$34,"Applicable",'sewerage system'!$F$4:$F$34,"Not Comply")+COUNTIFS('sewerage system'!$C$4:$C$34,"Applicable",'sewerage system'!$F$4:$F$34,"Non-Comply")+COUNTIFS('sewerage system'!$C$4:$C$34,"Applicable",'sewerage system'!$F$4:$F$34,"Non Comply")+COUNTIFS('sewerage system'!$C$4:$C$34,"Applicable",'sewerage system'!$F$4:$F$34,"No")</f>
        <v>0</v>
      </c>
      <c r="H17" s="8">
        <f t="shared" si="3"/>
        <v>0</v>
      </c>
      <c r="I17" s="80">
        <f t="shared" si="0"/>
        <v>0</v>
      </c>
      <c r="J17" s="80">
        <f t="shared" si="1"/>
        <v>0</v>
      </c>
      <c r="K17" s="8" t="str">
        <f t="shared" si="2"/>
        <v>Improve Compliance</v>
      </c>
      <c r="L17" s="8">
        <f t="shared" si="4"/>
        <v>-1.7000000000000001E-2</v>
      </c>
    </row>
    <row r="18" spans="1:12">
      <c r="A18" s="87" t="s">
        <v>2006</v>
      </c>
      <c r="B18" s="8" t="s">
        <v>1474</v>
      </c>
      <c r="C18" s="8">
        <f>COUNTA(sewerage!$B$4:$B$21)</f>
        <v>18</v>
      </c>
      <c r="D18" s="8">
        <f>COUNTIF(sewerage!$C$4:$C$21,"Applicable")</f>
        <v>0</v>
      </c>
      <c r="E18" s="8">
        <f>COUNTIF(sewerage!$C$4:$C$21,"Not Applicable")</f>
        <v>18</v>
      </c>
      <c r="F18" s="8">
        <f>COUNTIFS(sewerage!$C$4:$C$21,"Applicable",sewerage!$F$4:$F$21,"Comply")+COUNTIFS(sewerage!$C$4:$C$21,"Applicable",sewerage!$F$4:$F$21,"Compliant")+COUNTIFS(sewerage!$C$4:$C$21,"Applicable",sewerage!$F$4:$F$21,"Yes")</f>
        <v>0</v>
      </c>
      <c r="G18" s="8">
        <f>COUNTIFS(sewerage!$C$4:$C$21,"Applicable",sewerage!$F$4:$F$21,"Not Comply")+COUNTIFS(sewerage!$C$4:$C$21,"Applicable",sewerage!$F$4:$F$21,"Non-Comply")+COUNTIFS(sewerage!$C$4:$C$21,"Applicable",sewerage!$F$4:$F$21,"Non Comply")+COUNTIFS(sewerage!$C$4:$C$21,"Applicable",sewerage!$F$4:$F$21,"No")</f>
        <v>0</v>
      </c>
      <c r="H18" s="8">
        <f t="shared" si="3"/>
        <v>0</v>
      </c>
      <c r="I18" s="80">
        <f t="shared" si="0"/>
        <v>0</v>
      </c>
      <c r="J18" s="80">
        <f t="shared" si="1"/>
        <v>0</v>
      </c>
      <c r="K18" s="8" t="str">
        <f t="shared" si="2"/>
        <v>Improve Compliance</v>
      </c>
      <c r="L18" s="8">
        <f t="shared" si="4"/>
        <v>-1.7999999999999999E-2</v>
      </c>
    </row>
    <row r="19" spans="1:12">
      <c r="A19" s="8" t="s">
        <v>2053</v>
      </c>
      <c r="B19" s="8" t="s">
        <v>1464</v>
      </c>
      <c r="C19" s="8">
        <f>COUNTA(CLASS!$B$4:$B$20)</f>
        <v>17</v>
      </c>
      <c r="D19" s="8">
        <f>COUNTIF(CLASS!$C$4:$C$20,"Applicable")</f>
        <v>0</v>
      </c>
      <c r="E19" s="8">
        <f>COUNTIF(CLASS!$C$4:$C$20,"Not Applicable")</f>
        <v>17</v>
      </c>
      <c r="F19" s="8">
        <f>COUNTIFS(CLASS!$C$4:$C$20,"Applicable",CLASS!$F$4:$F$20,"Comply")+COUNTIFS(CLASS!$C$4:$C$20,"Applicable",CLASS!$F$4:$F$20,"Compliant")+COUNTIFS(CLASS!$C$4:$C$20,"Applicable",CLASS!$F$4:$F$20,"Yes")</f>
        <v>0</v>
      </c>
      <c r="G19" s="8">
        <f>COUNTIFS(CLASS!$C$4:$C$20,"Applicable",CLASS!$F$4:$F$20,"Not Comply")+COUNTIFS(CLASS!$C$4:$C$20,"Applicable",CLASS!$F$4:$F$20,"Non-Comply")+COUNTIFS(CLASS!$C$4:$C$20,"Applicable",CLASS!$F$4:$F$20,"Non Comply")+COUNTIFS(CLASS!$C$4:$C$20,"Applicable",CLASS!$F$4:$F$20,"No")</f>
        <v>0</v>
      </c>
      <c r="H19" s="8">
        <f t="shared" si="3"/>
        <v>0</v>
      </c>
      <c r="I19" s="80">
        <f t="shared" si="0"/>
        <v>0</v>
      </c>
      <c r="J19" s="80">
        <f t="shared" si="1"/>
        <v>0</v>
      </c>
      <c r="K19" s="8" t="str">
        <f t="shared" si="2"/>
        <v>Improve Compliance</v>
      </c>
      <c r="L19" s="8">
        <f t="shared" si="4"/>
        <v>-1.9E-2</v>
      </c>
    </row>
    <row r="20" spans="1:12">
      <c r="A20" s="87" t="s">
        <v>2054</v>
      </c>
      <c r="B20" s="8" t="s">
        <v>1464</v>
      </c>
      <c r="C20" s="8">
        <f>COUNTA(NADOPOD!$B$4:$B$11)</f>
        <v>8</v>
      </c>
      <c r="D20" s="8">
        <f>COUNTIF(NADOPOD!$C$4:$C$11,"Applicable")</f>
        <v>8</v>
      </c>
      <c r="E20" s="8">
        <f>COUNTIF(NADOPOD!$C$4:$C$11,"Not Applicable")</f>
        <v>0</v>
      </c>
      <c r="F20" s="8">
        <f>COUNTIFS(NADOPOD!$C$4:$C$11,"Applicable",NADOPOD!$F$4:$F$11,"Comply")+COUNTIFS(NADOPOD!$C$4:$C$11,"Applicable",NADOPOD!$F$4:$F$11,"Compliant")+COUNTIFS(NADOPOD!$C$4:$C$11,"Applicable",NADOPOD!$F$4:$F$11,"Yes")</f>
        <v>8</v>
      </c>
      <c r="G20" s="8">
        <f>COUNTIFS(NADOPOD!$C$4:$C$11,"Applicable",NADOPOD!$F$4:$F$11,"Not Comply")+COUNTIFS(NADOPOD!$C$4:$C$11,"Applicable",NADOPOD!$F$4:$F$11,"Non-Comply")+COUNTIFS(NADOPOD!$C$4:$C$11,"Applicable",NADOPOD!$F$4:$F$11,"Non Comply")+COUNTIFS(NADOPOD!$C$4:$C$11,"Applicable",NADOPOD!$F$4:$F$11,"No")</f>
        <v>0</v>
      </c>
      <c r="H20" s="8">
        <f t="shared" si="3"/>
        <v>0</v>
      </c>
      <c r="I20" s="80">
        <f t="shared" si="0"/>
        <v>1</v>
      </c>
      <c r="J20" s="80">
        <f t="shared" si="1"/>
        <v>1</v>
      </c>
      <c r="K20" s="8" t="str">
        <f t="shared" si="2"/>
        <v>Maintain Compliance</v>
      </c>
      <c r="L20" s="8">
        <f t="shared" si="4"/>
        <v>5999999.9800000004</v>
      </c>
    </row>
    <row r="21" spans="1:12">
      <c r="A21" s="87" t="s">
        <v>2055</v>
      </c>
      <c r="B21" s="8" t="s">
        <v>1464</v>
      </c>
      <c r="C21" s="8">
        <f>COUNTA(noise!$B$4:$B$19)</f>
        <v>16</v>
      </c>
      <c r="D21" s="8">
        <f>COUNTIF(noise!$C$4:$C$19,"Applicable")</f>
        <v>1</v>
      </c>
      <c r="E21" s="8">
        <f>COUNTIF(noise!$C$4:$C$19,"Not Applicable")</f>
        <v>15</v>
      </c>
      <c r="F21" s="8">
        <f>COUNTIFS(noise!$C$4:$C$19,"Applicable",noise!$F$4:$F$19,"Comply")+COUNTIFS(noise!$C$4:$C$19,"Applicable",noise!$F$4:$F$19,"Compliant")+COUNTIFS(noise!$C$4:$C$19,"Applicable",noise!$F$4:$F$19,"Yes")</f>
        <v>1</v>
      </c>
      <c r="G21" s="8">
        <f>COUNTIFS(noise!$C$4:$C$19,"Applicable",noise!$F$4:$F$19,"Not Comply")+COUNTIFS(noise!$C$4:$C$19,"Applicable",noise!$F$4:$F$19,"Non-Comply")+COUNTIFS(noise!$C$4:$C$19,"Applicable",noise!$F$4:$F$19,"Non Comply")+COUNTIFS(noise!$C$4:$C$19,"Applicable",noise!$F$4:$F$19,"No")</f>
        <v>0</v>
      </c>
      <c r="H21" s="8">
        <f t="shared" si="3"/>
        <v>0</v>
      </c>
      <c r="I21" s="80">
        <f t="shared" si="0"/>
        <v>1</v>
      </c>
      <c r="J21" s="80">
        <f t="shared" si="1"/>
        <v>1</v>
      </c>
      <c r="K21" s="8" t="str">
        <f t="shared" si="2"/>
        <v>Maintain Compliance</v>
      </c>
      <c r="L21" s="8">
        <f t="shared" si="4"/>
        <v>5999999.9790000003</v>
      </c>
    </row>
    <row r="22" spans="1:12">
      <c r="A22" s="87" t="s">
        <v>2056</v>
      </c>
      <c r="B22" s="8" t="s">
        <v>1464</v>
      </c>
      <c r="C22" s="8">
        <f>COUNTA(shc!$B$4:$B$26)</f>
        <v>23</v>
      </c>
      <c r="D22" s="8">
        <f>COUNTIF(shc!$C$4:$C$26,"Applicable")</f>
        <v>0</v>
      </c>
      <c r="E22" s="8">
        <f>COUNTIF(shc!$C$4:$C$26,"Not Applicable")</f>
        <v>23</v>
      </c>
      <c r="F22" s="8">
        <f>COUNTIFS(shc!$C$4:$C$26,"Applicable",shc!$F$4:$F$26,"Comply")+COUNTIFS(shc!$C$4:$C$26,"Applicable",shc!$F$4:$F$26,"Compliant")+COUNTIFS(shc!$C$4:$C$26,"Applicable",shc!$F$4:$F$26,"Yes")</f>
        <v>0</v>
      </c>
      <c r="G22" s="8">
        <f>COUNTIFS(shc!$C$4:$C$26,"Applicable",shc!$F$4:$F$26,"Not Comply")+COUNTIFS(shc!$C$4:$C$26,"Applicable",shc!$F$4:$F$26,"Non-Comply")+COUNTIFS(shc!$C$4:$C$26,"Applicable",shc!$F$4:$F$26,"Non Comply")+COUNTIFS(shc!$C$4:$C$26,"Applicable",shc!$F$4:$F$26,"No")</f>
        <v>0</v>
      </c>
      <c r="H22" s="8">
        <f t="shared" si="3"/>
        <v>0</v>
      </c>
      <c r="I22" s="80">
        <f t="shared" si="0"/>
        <v>0</v>
      </c>
      <c r="J22" s="80">
        <f t="shared" si="1"/>
        <v>0</v>
      </c>
      <c r="K22" s="8" t="str">
        <f t="shared" si="2"/>
        <v>Improve Compliance</v>
      </c>
      <c r="L22" s="8">
        <f t="shared" si="4"/>
        <v>-2.1999999999999999E-2</v>
      </c>
    </row>
    <row r="23" spans="1:12">
      <c r="A23" s="8" t="s">
        <v>2057</v>
      </c>
      <c r="B23" s="8" t="s">
        <v>1464</v>
      </c>
      <c r="C23" s="8">
        <f>COUNTA(CDM!$B$4:$B$39)</f>
        <v>36</v>
      </c>
      <c r="D23" s="8">
        <f>COUNTIF(CDM!$C$4:$C$39,"Applicable")</f>
        <v>0</v>
      </c>
      <c r="E23" s="8">
        <f>COUNTIF(CDM!$C$4:$C$39,"Not Applicable")</f>
        <v>36</v>
      </c>
      <c r="F23" s="8">
        <f>COUNTIFS(CDM!$C$4:$C$39,"Applicable",CDM!$F$4:$F$39,"Comply")+COUNTIFS(CDM!$C$4:$C$39,"Applicable",CDM!$F$4:$F$39,"Compliant")+COUNTIFS(CDM!$C$4:$C$39,"Applicable",CDM!$F$4:$F$39,"Yes")</f>
        <v>0</v>
      </c>
      <c r="G23" s="8">
        <f>COUNTIFS(CDM!$C$4:$C$39,"Applicable",CDM!$F$4:$F$39,"Not Comply")+COUNTIFS(CDM!$C$4:$C$39,"Applicable",CDM!$F$4:$F$39,"Non-Comply")+COUNTIFS(CDM!$C$4:$C$39,"Applicable",CDM!$F$4:$F$39,"Non Comply")+COUNTIFS(CDM!$C$4:$C$39,"Applicable",CDM!$F$4:$F$39,"No")</f>
        <v>0</v>
      </c>
      <c r="H23" s="8">
        <f t="shared" si="3"/>
        <v>0</v>
      </c>
      <c r="I23" s="80">
        <f t="shared" si="0"/>
        <v>0</v>
      </c>
      <c r="J23" s="80">
        <f t="shared" si="1"/>
        <v>0</v>
      </c>
      <c r="K23" s="8" t="str">
        <f t="shared" si="2"/>
        <v>Improve Compliance</v>
      </c>
      <c r="L23" s="8">
        <f t="shared" si="4"/>
        <v>-2.3E-2</v>
      </c>
    </row>
    <row r="24" spans="1:12">
      <c r="A24" s="8" t="s">
        <v>2038</v>
      </c>
      <c r="B24" s="8" t="s">
        <v>1474</v>
      </c>
      <c r="C24" s="8">
        <f>COUNTA(EQA!$B$4:$B$31)</f>
        <v>28</v>
      </c>
      <c r="D24" s="8">
        <f>COUNTIF(EQA!$C$4:$C$31,"Applicable")</f>
        <v>22</v>
      </c>
      <c r="E24" s="8">
        <f>COUNTIF(EQA!$C$4:$C$31,"Not Applicable")</f>
        <v>5</v>
      </c>
      <c r="F24" s="8">
        <f>COUNTIFS(EQA!$C$4:$C$31,"Applicable",EQA!$F$4:$F$31,"Comply")+COUNTIFS(EQA!$C$4:$C$31,"Applicable",EQA!$F$4:$F$31,"Compliant")+COUNTIFS(EQA!$C$4:$C$31,"Applicable",EQA!$F$4:$F$31,"Yes")</f>
        <v>22</v>
      </c>
      <c r="G24" s="8">
        <f>COUNTIFS(EQA!$C$4:$C$31,"Applicable",EQA!$F$4:$F$31,"Not Comply")+COUNTIFS(EQA!$C$4:$C$31,"Applicable",EQA!$F$4:$F$31,"Non-Comply")+COUNTIFS(EQA!$C$4:$C$31,"Applicable",EQA!$F$4:$F$31,"Non Comply")+COUNTIFS(EQA!$C$4:$C$31,"Applicable",EQA!$F$4:$F$31,"No")</f>
        <v>0</v>
      </c>
      <c r="H24" s="8">
        <f t="shared" si="3"/>
        <v>0</v>
      </c>
      <c r="I24" s="80">
        <f t="shared" si="0"/>
        <v>1</v>
      </c>
      <c r="J24" s="80">
        <f t="shared" si="1"/>
        <v>1</v>
      </c>
      <c r="K24" s="8" t="str">
        <f t="shared" si="2"/>
        <v>Maintain Compliance</v>
      </c>
      <c r="L24" s="8">
        <f t="shared" si="4"/>
        <v>6899999.9759999998</v>
      </c>
    </row>
    <row r="25" spans="1:12">
      <c r="A25" s="87" t="s">
        <v>2058</v>
      </c>
      <c r="B25" s="8" t="s">
        <v>1556</v>
      </c>
      <c r="C25" s="8">
        <f>COUNTA(FSA!$B$4:$B$31)</f>
        <v>28</v>
      </c>
      <c r="D25" s="8">
        <f>COUNTIF(FSA!$C$4:$C$31,"Applicable")</f>
        <v>25</v>
      </c>
      <c r="E25" s="8">
        <f>COUNTIF(FSA!$C$4:$C$31,"Not Applicable")</f>
        <v>3</v>
      </c>
      <c r="F25" s="8">
        <f>COUNTIFS(FSA!$C$4:$C$31,"Applicable",FSA!$F$4:$F$31,"Comply")+COUNTIFS(FSA!$C$4:$C$31,"Applicable",FSA!$F$4:$F$31,"Compliant")+COUNTIFS(FSA!$C$4:$C$31,"Applicable",FSA!$F$4:$F$31,"Yes")</f>
        <v>25</v>
      </c>
      <c r="G25" s="8">
        <f>COUNTIFS(FSA!$C$4:$C$31,"Applicable",FSA!$F$4:$F$31,"Not Comply")+COUNTIFS(FSA!$C$4:$C$31,"Applicable",FSA!$F$4:$F$31,"Non-Comply")+COUNTIFS(FSA!$C$4:$C$31,"Applicable",FSA!$F$4:$F$31,"Non Comply")+COUNTIFS(FSA!$C$4:$C$31,"Applicable",FSA!$F$4:$F$31,"No")</f>
        <v>0</v>
      </c>
      <c r="H25" s="8">
        <f t="shared" si="3"/>
        <v>0</v>
      </c>
      <c r="I25" s="80">
        <f t="shared" si="0"/>
        <v>1</v>
      </c>
      <c r="J25" s="80">
        <f t="shared" si="1"/>
        <v>1</v>
      </c>
      <c r="K25" s="8" t="str">
        <f t="shared" si="2"/>
        <v>Maintain Compliance</v>
      </c>
      <c r="L25" s="8">
        <f t="shared" si="4"/>
        <v>6799999.9749999996</v>
      </c>
    </row>
    <row r="26" spans="1:12">
      <c r="A26" s="87" t="s">
        <v>2059</v>
      </c>
      <c r="B26" s="8" t="s">
        <v>1556</v>
      </c>
      <c r="C26" s="8">
        <f>COUNTA(FC!$B$4:$B$29)</f>
        <v>26</v>
      </c>
      <c r="D26" s="8">
        <f>COUNTIF(FC!$C$4:$C$29,"Applicable")</f>
        <v>0</v>
      </c>
      <c r="E26" s="8">
        <f>COUNTIF(FC!$C$4:$C$29,"Not Applicable")</f>
        <v>26</v>
      </c>
      <c r="F26" s="8">
        <f>COUNTIFS(FC!$C$4:$C$29,"Applicable",FC!$F$4:$F$29,"Comply")+COUNTIFS(FC!$C$4:$C$29,"Applicable",FC!$F$4:$F$29,"Compliant")+COUNTIFS(FC!$C$4:$C$29,"Applicable",FC!$F$4:$F$29,"Yes")</f>
        <v>0</v>
      </c>
      <c r="G26" s="8">
        <f>COUNTIFS(FC!$C$4:$C$29,"Applicable",FC!$F$4:$F$29,"Not Comply")+COUNTIFS(FC!$C$4:$C$29,"Applicable",FC!$F$4:$F$29,"Non-Comply")+COUNTIFS(FC!$C$4:$C$29,"Applicable",FC!$F$4:$F$29,"Non Comply")+COUNTIFS(FC!$C$4:$C$29,"Applicable",FC!$F$4:$F$29,"No")</f>
        <v>0</v>
      </c>
      <c r="H26" s="8">
        <f t="shared" si="3"/>
        <v>0</v>
      </c>
      <c r="I26" s="80">
        <f t="shared" si="0"/>
        <v>0</v>
      </c>
      <c r="J26" s="80">
        <f t="shared" si="1"/>
        <v>0</v>
      </c>
      <c r="K26" s="8" t="str">
        <f t="shared" si="2"/>
        <v>Improve Compliance</v>
      </c>
      <c r="L26" s="8">
        <f t="shared" si="4"/>
        <v>-2.5999999999999999E-2</v>
      </c>
    </row>
    <row r="27" spans="1:12">
      <c r="A27" s="87" t="s">
        <v>2060</v>
      </c>
      <c r="B27" s="8" t="s">
        <v>1474</v>
      </c>
      <c r="C27" s="8">
        <f>COUNTA(sewage!$B$4:$B$20)</f>
        <v>17</v>
      </c>
      <c r="D27" s="8">
        <f>COUNTIF(sewage!$C$4:$C$20,"Applicable")</f>
        <v>0</v>
      </c>
      <c r="E27" s="8">
        <f>COUNTIF(sewage!$C$4:$C$20,"Not Applicable")</f>
        <v>17</v>
      </c>
      <c r="F27" s="8">
        <f>COUNTIFS(sewage!$C$4:$C$20,"Applicable",sewage!$F$4:$F$20,"Comply")+COUNTIFS(sewage!$C$4:$C$20,"Applicable",sewage!$F$4:$F$20,"Compliant")+COUNTIFS(sewage!$C$4:$C$20,"Applicable",sewage!$F$4:$F$20,"Yes")</f>
        <v>0</v>
      </c>
      <c r="G27" s="8">
        <f>COUNTIFS(sewage!$C$4:$C$20,"Applicable",sewage!$F$4:$F$20,"Not Comply")+COUNTIFS(sewage!$C$4:$C$20,"Applicable",sewage!$F$4:$F$20,"Non-Comply")+COUNTIFS(sewage!$C$4:$C$20,"Applicable",sewage!$F$4:$F$20,"Non Comply")+COUNTIFS(sewage!$C$4:$C$20,"Applicable",sewage!$F$4:$F$20,"No")</f>
        <v>0</v>
      </c>
      <c r="H27" s="8">
        <f t="shared" si="3"/>
        <v>0</v>
      </c>
      <c r="I27" s="80">
        <f t="shared" si="0"/>
        <v>0</v>
      </c>
      <c r="J27" s="80">
        <f t="shared" si="1"/>
        <v>0</v>
      </c>
      <c r="K27" s="8" t="str">
        <f t="shared" si="2"/>
        <v>Improve Compliance</v>
      </c>
      <c r="L27" s="8">
        <f t="shared" si="4"/>
        <v>-2.7E-2</v>
      </c>
    </row>
    <row r="28" spans="1:12">
      <c r="A28" s="87" t="s">
        <v>2061</v>
      </c>
      <c r="B28" s="8" t="s">
        <v>1474</v>
      </c>
      <c r="C28" s="8">
        <f>COUNTA(refrigerant!$B$4:$B$12)</f>
        <v>9</v>
      </c>
      <c r="D28" s="8">
        <f>COUNTIF(refrigerant!$C$4:$C$12,"Applicable")</f>
        <v>0</v>
      </c>
      <c r="E28" s="8">
        <f>COUNTIF(refrigerant!$C$4:$C$12,"Not Applicable")</f>
        <v>9</v>
      </c>
      <c r="F28" s="8">
        <f>COUNTIFS(refrigerant!$C$4:$C$12,"Applicable",refrigerant!$F$4:$F$12,"Comply")+COUNTIFS(refrigerant!$C$4:$C$12,"Applicable",refrigerant!$F$4:$F$12,"Compliant")+COUNTIFS(refrigerant!$C$4:$C$12,"Applicable",refrigerant!$F$4:$F$12,"Yes")</f>
        <v>0</v>
      </c>
      <c r="G28" s="8">
        <f>COUNTIFS(refrigerant!$C$4:$C$12,"Applicable",refrigerant!$F$4:$F$12,"Not Comply")+COUNTIFS(refrigerant!$C$4:$C$12,"Applicable",refrigerant!$F$4:$F$12,"Non-Comply")+COUNTIFS(refrigerant!$C$4:$C$12,"Applicable",refrigerant!$F$4:$F$12,"Non Comply")+COUNTIFS(refrigerant!$C$4:$C$12,"Applicable",refrigerant!$F$4:$F$12,"No")</f>
        <v>0</v>
      </c>
      <c r="H28" s="8">
        <f t="shared" si="3"/>
        <v>0</v>
      </c>
      <c r="I28" s="80">
        <f t="shared" si="0"/>
        <v>0</v>
      </c>
      <c r="J28" s="80">
        <f t="shared" si="1"/>
        <v>0</v>
      </c>
      <c r="K28" s="8" t="str">
        <f t="shared" si="2"/>
        <v>Improve Compliance</v>
      </c>
      <c r="L28" s="8">
        <f>IF(D28=0,-ROW()/1000,IF(A28="OSHA 1994",7000000,IF(A28="EQA 1974",6900000,IF(OR(A28="WSIA 2006",A28="CIDB Act 1994",A28="Pesticides Act 1974",A28="Sewerage Services Act 1993",A28="FSA 1988"),6800000,IF(OR(A28="EQ (Diesel Engine) Reg. 2000",A28="EQ (Solid Waste) Reg. 2009",A28="EQ (Control of Petrol &amp; Diesel) Reg. 2007",A28="EQ (Ind. Effluent) Reg. 2009",A28="EQ (Clean Air) Reg. 2014",A28="OSH (CF) Reg. 2024",A28="EQ (SW) 2005",A28="OSH (USECHH) Reg 2000",A28="pesticides (labelling) Reg. 1984",A28="OSH (CLASS) Reg. 2013",A28="OSH (NADOPOD) Reg. 2004",A28="OSH (Noise Exp.) Reg. 2019",A28="OSH (SHC) Reg. 1996",A28="OSH (CDM) Reg. 2024",A28="FS (Fire Cert.) Reg. 2001",A28="EQ (Sewage) Reg. 2009",A28="EQ (Refrigerant) Reg. 1999"),6000000,IF(ISNUMBER(SEARCH("Order",A28)),5000000,IF(A28="ICOP Transport 2010",4000000,IF(A28="WSI (Sewerage System) Rules 2013",3000000,IF(A28="MHA Guidance",2000000,1000000))))))))+G28*1000+H28*100+(1-I28)*10-ROW()/1000)</f>
        <v>-2.8000000000000001E-2</v>
      </c>
    </row>
    <row r="29" spans="1:12">
      <c r="A29" s="87" t="s">
        <v>2063</v>
      </c>
      <c r="B29" s="8" t="s">
        <v>1556</v>
      </c>
      <c r="C29" s="8">
        <f>COUNTA(UBBL!$B$4:$B$85)</f>
        <v>82</v>
      </c>
      <c r="D29" s="8">
        <f>COUNTIF(UBBL!$C$4:$C$85,"Applicable")</f>
        <v>0</v>
      </c>
      <c r="E29" s="8">
        <f>COUNTIF(UBBL!$C$4:$C$85,"Not Applicable")</f>
        <v>82</v>
      </c>
      <c r="F29" s="8">
        <f>COUNTIFS(UBBL!$C$4:$C$85,"Applicable",UBBL!$F$4:$F$85,"Comply")+COUNTIFS(UBBL!$C$4:$C$85,"Applicable",UBBL!$F$4:$F$85,"Compliant")+COUNTIFS(UBBL!$C$4:$C$85,"Applicable",UBBL!$F$4:$F$85,"Yes")</f>
        <v>0</v>
      </c>
      <c r="G29" s="8">
        <f>COUNTIFS(UBBL!$C$4:$C$85,"Applicable",UBBL!$F$4:$F$85,"Not Comply")+COUNTIFS(UBBL!$C$4:$C$85,"Applicable",UBBL!$F$4:$F$85,"Non-Comply")+COUNTIFS(UBBL!$C$4:$C$85,"Applicable",UBBL!$F$4:$F$85,"Non Comply")+COUNTIFS(UBBL!$C$4:$C$85,"Applicable",UBBL!$F$4:$F$85,"No")</f>
        <v>0</v>
      </c>
      <c r="H29" s="8">
        <f t="shared" si="3"/>
        <v>0</v>
      </c>
      <c r="I29" s="80">
        <f t="shared" si="0"/>
        <v>0</v>
      </c>
      <c r="J29" s="80">
        <f t="shared" ref="J29" si="5">IF(D29=0,0,(F29+G29)/D29)</f>
        <v>0</v>
      </c>
      <c r="K29" s="8" t="str">
        <f t="shared" ref="K29" si="6">IF(G29&gt;0,"Action Required",IF(H29&gt;0,"Pending Evaluation",IF(I29&gt;=0.95,"Maintain Compliance","Improve Compliance")))</f>
        <v>Improve Compliance</v>
      </c>
      <c r="L29" s="8">
        <f>IF(D29=0,-ROW()/1000,IF(A29="OSHA 1994",7000000,IF(A29="EQA 1974",6900000,IF(OR(A29="WSIA 2006",A29="CIDB Act 1994",A29="Pesticides Act 1974",A29="Sewerage Services Act 1993",A29="FSA 1988"),6800000,IF(OR(A29="EQ (Diesel Engine) Reg. 2000",A29="EQ (Solid Waste) Reg. 2009",A29="EQ (Control of Petrol &amp; Diesel) Reg. 2007",A29="EQ (Ind. Effluent) Reg. 2009",A29="EQ (Clean Air) Reg. 2014",A29="OSH (CF) Reg. 2024",A29="EQ (SW) 2005",A29="OSH (USECHH) Reg 2000",A29="pesticides (labelling) Reg. 1984",A29="OSH (CLASS) Reg. 2013",A29="OSH (NADOPOD) Reg. 2004",A29="OSH (Noise Exp.) Reg. 2019",A29="OSH (SHC) Reg. 1996",A29="OSH (CDM) Reg. 2024",A29="FS (Fire Cert.) Reg. 2001",A29="EQ (Sewage) Reg. 2009",A29="EQ (Refrigerant) Reg. 1999",A29="UBBL"),6000000,IF(ISNUMBER(SEARCH("Order",A29)),5000000,IF(A29="ICOP Transport 2010",4000000,IF(A29="WSI (Sewerage System) Rules 2013",3000000,IF(A29="MHA Guidance",2000000,1000000))))))))+G29*1000+H29*100+(1-I29)*10-ROW()/1000)</f>
        <v>-2.9000000000000001E-2</v>
      </c>
    </row>
    <row r="30" spans="1:12">
      <c r="A30" s="8"/>
      <c r="B30" s="8"/>
      <c r="C30" s="8"/>
      <c r="D30" s="8"/>
      <c r="E30" s="8"/>
      <c r="F30" s="8"/>
      <c r="G30" s="8"/>
      <c r="H30" s="8"/>
      <c r="I30" s="80"/>
      <c r="J30" s="80"/>
      <c r="K30" s="8"/>
      <c r="L30" s="8"/>
    </row>
    <row r="31" spans="1:12">
      <c r="A31" s="81" t="s">
        <v>1572</v>
      </c>
      <c r="B31" s="81" t="s">
        <v>1573</v>
      </c>
      <c r="C31" s="81">
        <f>SUM(C2:C30)</f>
        <v>653</v>
      </c>
      <c r="D31" s="81">
        <f>SUM(D2:D30)</f>
        <v>76</v>
      </c>
      <c r="E31" s="81">
        <f t="shared" ref="E31:H31" si="7">SUM(E2:E30)</f>
        <v>576</v>
      </c>
      <c r="F31" s="81">
        <f>SUM(F2:F30)</f>
        <v>76</v>
      </c>
      <c r="G31" s="81">
        <f t="shared" si="7"/>
        <v>0</v>
      </c>
      <c r="H31" s="81">
        <f t="shared" si="7"/>
        <v>0</v>
      </c>
      <c r="I31" s="82">
        <f>IF(D31=0,0,F31/D31)</f>
        <v>1</v>
      </c>
      <c r="J31" s="82">
        <f>IF(D31=0,0,(F31+G31)/D31)</f>
        <v>1</v>
      </c>
      <c r="K31" s="81" t="str">
        <f>IF(G31&gt;0,"Action Required",IF(H31&gt;0,"Pending Evaluation",IF(I31&gt;=0.95,"Maintain Compliance","Improve Compliance")))</f>
        <v>Maintain Compliance</v>
      </c>
      <c r="L31" s="81">
        <f>MAX(L2:L30)</f>
        <v>6999999.9979999997</v>
      </c>
    </row>
    <row r="33" spans="1:1">
      <c r="A33" s="134"/>
    </row>
  </sheetData>
  <hyperlinks>
    <hyperlink ref="A2" location="OSHA!A1" display="OSHA" xr:uid="{2246FA40-B2DC-4D3F-9447-907470ACEAFD}"/>
    <hyperlink ref="A12" location="USECHH!A1" display="OSH (USECHH) Reg 2000" xr:uid="{D77EB9AC-D225-4354-8A8F-E6C384F4D254}"/>
    <hyperlink ref="A13" location="CIDB!A1" display="CIDB" xr:uid="{20156552-E668-470B-9F70-69F680133833}"/>
    <hyperlink ref="A14" location="'ICOP Transport'!A1" display="ICOP Transport" xr:uid="{7C394F6A-F11E-427C-97F1-6B6588BEF322}"/>
    <hyperlink ref="A15" location="'pesticides labelling'!A1" display="pesticides labelling Reg" xr:uid="{3A6D25EF-09F1-4694-BACB-ED7FD3B39AC7}"/>
    <hyperlink ref="A16" location="Pesticides!A1" display="Pesticides Act" xr:uid="{A172CDAE-69A5-43AA-8C22-FA4548F750C1}"/>
    <hyperlink ref="A17" location="'sewerage system'!A1" display="Sewerage System" xr:uid="{682C1A1C-4A64-4585-8E24-8262C47F643C}"/>
    <hyperlink ref="A18" location="sewerage!A1" display="sewerage" xr:uid="{2E9E4396-3220-48EC-98D5-9113008B9169}"/>
    <hyperlink ref="A20" location="NADOPOD!A1" display="NADOPOD" xr:uid="{E02358DE-9E01-44A1-9A34-94CDC63A2176}"/>
    <hyperlink ref="A21" location="noise!A1" display="Noise Reg." xr:uid="{311BC6E4-F64A-408F-A316-8E5995985FC2}"/>
    <hyperlink ref="A22" location="shc!A1" display="SHC Reg." xr:uid="{B9DD37AC-21DD-4D5C-BBBB-676B170005B0}"/>
    <hyperlink ref="A25" location="FSA!A1" display="FSA" xr:uid="{55F25D9C-A5FB-428C-9A05-19CC0247CFC4}"/>
    <hyperlink ref="A26" location="FC!A1" display="Fire Cert. Reg." xr:uid="{9A915FB9-F161-494F-822D-DFCD59462BB2}"/>
    <hyperlink ref="A27" location="sewage!A1" display="Sewage Reg." xr:uid="{DDF58B82-E8D5-414F-BEA3-7A5E105CC3FF}"/>
    <hyperlink ref="A28" location="refrigerant!A1" display="Refrigerant Reg." xr:uid="{A07DEE94-C83E-47E2-9AFA-BACCBD8418BE}"/>
    <hyperlink ref="A29" location="UBBL!A1" display="UBBL" xr:uid="{676FBFF0-D325-42B7-A13D-5366A0F76FC6}"/>
  </hyperlink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D1AC2-293E-4F93-9941-117F0735B444}">
  <sheetPr>
    <pageSetUpPr fitToPage="1"/>
  </sheetPr>
  <dimension ref="A1:R152"/>
  <sheetViews>
    <sheetView topLeftCell="A139" workbookViewId="0">
      <selection activeCell="A150" sqref="A150"/>
    </sheetView>
  </sheetViews>
  <sheetFormatPr defaultRowHeight="14.5"/>
  <cols>
    <col min="1" max="1" width="63.08984375" style="15" customWidth="1"/>
    <col min="2" max="2" width="42.26953125" style="14" customWidth="1"/>
    <col min="3" max="3" width="20.90625" style="14" customWidth="1"/>
    <col min="4" max="4" width="10.54296875" style="15" customWidth="1"/>
    <col min="5" max="31" width="8.7265625" style="15" customWidth="1"/>
    <col min="32" max="16384" width="8.7265625" style="15"/>
  </cols>
  <sheetData>
    <row r="1" spans="1:3">
      <c r="A1" s="15">
        <v>1</v>
      </c>
    </row>
    <row r="4" spans="1:3">
      <c r="A4" s="15" t="s">
        <v>576</v>
      </c>
      <c r="B4" s="14" t="s">
        <v>578</v>
      </c>
    </row>
    <row r="5" spans="1:3">
      <c r="A5" s="15" t="s">
        <v>575</v>
      </c>
      <c r="B5" s="14" t="s">
        <v>579</v>
      </c>
    </row>
    <row r="6" spans="1:3">
      <c r="A6" s="15" t="s">
        <v>577</v>
      </c>
      <c r="B6" s="14" t="s">
        <v>580</v>
      </c>
    </row>
    <row r="13" spans="1:3">
      <c r="A13" s="13" t="s">
        <v>3</v>
      </c>
      <c r="B13" s="14" t="s">
        <v>1454</v>
      </c>
      <c r="C13" s="39"/>
    </row>
    <row r="14" spans="1:3">
      <c r="A14" s="13" t="s">
        <v>4</v>
      </c>
      <c r="B14" s="14" t="s">
        <v>1455</v>
      </c>
      <c r="C14" s="39"/>
    </row>
    <row r="15" spans="1:3">
      <c r="A15" s="13" t="s">
        <v>5</v>
      </c>
      <c r="B15" s="14" t="s">
        <v>1359</v>
      </c>
      <c r="C15" s="39"/>
    </row>
    <row r="16" spans="1:3">
      <c r="A16" s="13" t="s">
        <v>6</v>
      </c>
      <c r="C16" s="39"/>
    </row>
    <row r="18" spans="1:18" ht="49.5" customHeight="1">
      <c r="A18" s="37" t="s">
        <v>1016</v>
      </c>
      <c r="B18" s="37" t="s">
        <v>1017</v>
      </c>
      <c r="C18" s="37" t="s">
        <v>1018</v>
      </c>
      <c r="D18" s="61" t="s">
        <v>1358</v>
      </c>
      <c r="E18" s="15" t="s">
        <v>1022</v>
      </c>
      <c r="F18" s="15" t="s">
        <v>1023</v>
      </c>
      <c r="G18" s="15" t="s">
        <v>1024</v>
      </c>
    </row>
    <row r="19" spans="1:18" ht="58">
      <c r="A19" s="35" t="str">
        <f>Home!A15</f>
        <v>1. Total number of workers (including subcontractors if applicable)</v>
      </c>
      <c r="B19" s="36" t="s">
        <v>1025</v>
      </c>
      <c r="C19" s="40"/>
      <c r="D19" s="16"/>
      <c r="E19" s="15" t="s">
        <v>1025</v>
      </c>
      <c r="F19" s="15" t="s">
        <v>1141</v>
      </c>
      <c r="G19" s="15" t="s">
        <v>1154</v>
      </c>
      <c r="P19" s="15" t="s">
        <v>7</v>
      </c>
      <c r="Q19" s="15" t="s">
        <v>8</v>
      </c>
    </row>
    <row r="20" spans="1:18" ht="58">
      <c r="A20" s="16" t="str">
        <f>Home!A22</f>
        <v>2. Engagement of contractors working daily at workplace</v>
      </c>
      <c r="B20" s="17" t="s">
        <v>1026</v>
      </c>
      <c r="C20" s="41" t="str">
        <f>IF(IF(Home!B23=Home!B24,"",Home!B23)=TRUE,F20,G20)</f>
        <v>Contractor-specific control is not applied.</v>
      </c>
      <c r="D20" s="16"/>
      <c r="E20" s="15" t="s">
        <v>1026</v>
      </c>
      <c r="F20" s="15" t="s">
        <v>1086</v>
      </c>
      <c r="G20" s="15" t="s">
        <v>1155</v>
      </c>
      <c r="P20" s="15" t="b">
        <f>Home!B23</f>
        <v>0</v>
      </c>
      <c r="Q20" s="15" t="b">
        <f>Home!B24</f>
        <v>0</v>
      </c>
      <c r="R20" s="51" t="str">
        <f>IF(P20=TRUE,"P","Ï")</f>
        <v>Ï</v>
      </c>
    </row>
    <row r="21" spans="1:18" ht="43.5">
      <c r="A21" s="16" t="str">
        <f>Home!A28</f>
        <v>3. Employment of foreign workers</v>
      </c>
      <c r="B21" s="17" t="s">
        <v>1027</v>
      </c>
      <c r="C21" s="41" t="str">
        <f>IF(IF(Home!B29=Home!B30,"",Home!B29)=TRUE,F21,G21)</f>
        <v>Foreign-worker-specific control is not applied.</v>
      </c>
      <c r="D21" s="16"/>
      <c r="E21" s="15" t="s">
        <v>1027</v>
      </c>
      <c r="F21" s="15" t="s">
        <v>1087</v>
      </c>
      <c r="G21" s="15" t="s">
        <v>1156</v>
      </c>
      <c r="P21" s="15" t="b">
        <f>Home!B29</f>
        <v>0</v>
      </c>
      <c r="Q21" s="15" t="b">
        <f>Home!B30</f>
        <v>0</v>
      </c>
      <c r="R21" s="51" t="str">
        <f t="shared" ref="R21:R86" si="0">IF(P21=TRUE,"P","Ï")</f>
        <v>Ï</v>
      </c>
    </row>
    <row r="22" spans="1:18" ht="58">
      <c r="A22" s="16" t="str">
        <f>Home!A34</f>
        <v>4. Use of young workers or apprentices</v>
      </c>
      <c r="B22" s="17" t="s">
        <v>1028</v>
      </c>
      <c r="C22" s="41" t="str">
        <f>IF(IF(Home!B35=Home!B36,"",Home!B35)=TRUE,F22,G22)</f>
        <v>Young-worker/apprentice control is not applied.</v>
      </c>
      <c r="D22" s="16"/>
      <c r="E22" s="15" t="s">
        <v>1028</v>
      </c>
      <c r="F22" s="15" t="s">
        <v>1088</v>
      </c>
      <c r="G22" s="15" t="s">
        <v>1157</v>
      </c>
      <c r="P22" s="15" t="b">
        <f>Home!B35</f>
        <v>0</v>
      </c>
      <c r="Q22" s="15" t="b">
        <f>Home!B36</f>
        <v>0</v>
      </c>
      <c r="R22" s="51" t="str">
        <f t="shared" si="0"/>
        <v>Ï</v>
      </c>
    </row>
    <row r="23" spans="1:18" ht="43.5">
      <c r="A23" s="16" t="str">
        <f>Home!A42</f>
        <v>5(a). Construction works</v>
      </c>
      <c r="B23" s="17" t="s">
        <v>1029</v>
      </c>
      <c r="C23" s="41" t="str">
        <f>IF(IF(Home!B43=Home!B44,"",Home!B43)=TRUE,F23,G23)</f>
        <v>CDM construction-specific requirements are not applied.</v>
      </c>
      <c r="D23" s="16"/>
      <c r="E23" s="15" t="s">
        <v>1029</v>
      </c>
      <c r="F23" s="15" t="s">
        <v>1089</v>
      </c>
      <c r="G23" s="15" t="s">
        <v>1158</v>
      </c>
      <c r="P23" s="15" t="b">
        <f>Home!B43</f>
        <v>0</v>
      </c>
      <c r="Q23" s="15" t="b">
        <f>Home!B44</f>
        <v>0</v>
      </c>
      <c r="R23" s="51" t="str">
        <f t="shared" si="0"/>
        <v>Ï</v>
      </c>
    </row>
    <row r="24" spans="1:18" ht="72.5">
      <c r="A24" s="16" t="str">
        <f>Home!A48</f>
        <v>5(b). Construction works value exceeds RM10M</v>
      </c>
      <c r="B24" s="17" t="s">
        <v>1030</v>
      </c>
      <c r="C24" s="41" t="str">
        <f>IF(IF(Home!B49=Home!B50,"",Home!B49)=TRUE,F24,G24)</f>
        <v>SSS legal trigger is not applied; keep as internal threshold only if required by PLUS.</v>
      </c>
      <c r="D24" s="16"/>
      <c r="E24" s="15" t="s">
        <v>1030</v>
      </c>
      <c r="F24" s="15" t="s">
        <v>1213</v>
      </c>
      <c r="G24" s="15" t="s">
        <v>1202</v>
      </c>
      <c r="P24" s="15" t="b">
        <f>Home!B49</f>
        <v>0</v>
      </c>
      <c r="Q24" s="15" t="b">
        <f>Home!B50</f>
        <v>0</v>
      </c>
      <c r="R24" s="51" t="str">
        <f t="shared" si="0"/>
        <v>Ï</v>
      </c>
    </row>
    <row r="25" spans="1:18" ht="43.5">
      <c r="A25" s="16" t="str">
        <f>Home!A54</f>
        <v>6. Having 9 items of PTW work activities</v>
      </c>
      <c r="B25" s="17" t="s">
        <v>1031</v>
      </c>
      <c r="C25" s="41" t="str">
        <f>IF(IF(Home!B55=Home!B56,"",Home!B55)=TRUE,F25,G25)</f>
        <v>PTW-specific control is not applied.</v>
      </c>
      <c r="D25" s="16"/>
      <c r="E25" s="15" t="s">
        <v>1031</v>
      </c>
      <c r="F25" s="15" t="s">
        <v>1090</v>
      </c>
      <c r="G25" s="15" t="s">
        <v>1159</v>
      </c>
      <c r="P25" s="15" t="b">
        <f>Home!B55</f>
        <v>0</v>
      </c>
      <c r="Q25" s="15" t="b">
        <f>Home!B56</f>
        <v>0</v>
      </c>
      <c r="R25" s="51" t="str">
        <f t="shared" si="0"/>
        <v>Ï</v>
      </c>
    </row>
    <row r="26" spans="1:18" ht="43.5">
      <c r="A26" s="16" t="str">
        <f>Home!A60</f>
        <v>7. Under class of industry require to employ SHO</v>
      </c>
      <c r="B26" s="17" t="s">
        <v>1217</v>
      </c>
      <c r="C26" s="41" t="str">
        <f>IF(IF(Home!B61=Home!B62,"",Home!B61)=TRUE,F26,G26)</f>
        <v>SHO appointment is not applied.</v>
      </c>
      <c r="D26" s="16"/>
      <c r="E26" s="15" t="s">
        <v>1216</v>
      </c>
      <c r="F26" s="15" t="s">
        <v>1218</v>
      </c>
      <c r="G26" s="15" t="s">
        <v>1219</v>
      </c>
      <c r="P26" s="15" t="b">
        <f>Home!B61</f>
        <v>0</v>
      </c>
      <c r="Q26" s="15" t="b">
        <f>Home!B62</f>
        <v>0</v>
      </c>
      <c r="R26" s="51" t="str">
        <f t="shared" si="0"/>
        <v>Ï</v>
      </c>
    </row>
    <row r="27" spans="1:18" ht="29">
      <c r="A27" s="17" t="str">
        <f>Home!A68</f>
        <v>8. Work activities carried out at operating highway areas or within highway reserve.</v>
      </c>
      <c r="B27" s="17" t="s">
        <v>1309</v>
      </c>
      <c r="C27" s="41" t="str">
        <f>IF(IF(Home!B69=Home!B70,"",Home!B69)=TRUE,F27,G27)</f>
        <v>EOSP is not applicable</v>
      </c>
      <c r="D27" s="16" t="b">
        <f>Home!B69</f>
        <v>0</v>
      </c>
      <c r="F27" s="15" t="s">
        <v>1310</v>
      </c>
      <c r="G27" s="15" t="s">
        <v>1849</v>
      </c>
      <c r="R27" s="51"/>
    </row>
    <row r="28" spans="1:18" ht="58">
      <c r="A28" s="16" t="str">
        <f>Home!A74</f>
        <v>9. Use of electrical tools, powered machinery, vehicles or equipment</v>
      </c>
      <c r="B28" s="17" t="s">
        <v>1203</v>
      </c>
      <c r="C28" s="41" t="str">
        <f>IF(IF(Home!B75=Home!B76,"",Home!B75)=TRUE,F28,G28)</f>
        <v>annual Noise Risk Identification (NRI) only</v>
      </c>
      <c r="D28" s="16" t="b">
        <f>Home!B75</f>
        <v>0</v>
      </c>
      <c r="E28" s="15" t="s">
        <v>1032</v>
      </c>
      <c r="F28" s="15" t="s">
        <v>273</v>
      </c>
      <c r="G28" s="15" t="s">
        <v>1204</v>
      </c>
      <c r="P28" s="15" t="b">
        <f>Home!B75</f>
        <v>0</v>
      </c>
      <c r="Q28" s="15" t="b">
        <f>Home!B76</f>
        <v>0</v>
      </c>
      <c r="R28" s="51" t="str">
        <f t="shared" si="0"/>
        <v>Ï</v>
      </c>
    </row>
    <row r="29" spans="1:18" ht="43.5">
      <c r="A29" s="16" t="str">
        <f>Home!A80</f>
        <v>10. Work at height activities (≥2 meters)</v>
      </c>
      <c r="B29" s="17" t="s">
        <v>1033</v>
      </c>
      <c r="C29" s="41" t="str">
        <f>IF(IF(Home!B81=Home!B82,"",Home!B81)=TRUE,F29,G29)</f>
        <v>Work-at-height control is not applied.</v>
      </c>
      <c r="D29" s="16" t="b">
        <f>Home!B81</f>
        <v>0</v>
      </c>
      <c r="E29" s="15" t="s">
        <v>1033</v>
      </c>
      <c r="F29" s="15" t="s">
        <v>1091</v>
      </c>
      <c r="G29" s="15" t="s">
        <v>1160</v>
      </c>
      <c r="P29" s="15" t="b">
        <f>Home!B81</f>
        <v>0</v>
      </c>
      <c r="Q29" s="15" t="b">
        <f>Home!B82</f>
        <v>0</v>
      </c>
      <c r="R29" s="51" t="str">
        <f t="shared" si="0"/>
        <v>Ï</v>
      </c>
    </row>
    <row r="30" spans="1:18" ht="43.5">
      <c r="A30" s="16" t="str">
        <f>Home!A86</f>
        <v>11. Confined space activities</v>
      </c>
      <c r="B30" s="17" t="s">
        <v>1034</v>
      </c>
      <c r="C30" s="41" t="str">
        <f>IF(IF(Home!B87=Home!B88,"",Home!B87)=TRUE,F30,G30)</f>
        <v>Confined-space control is not applied.</v>
      </c>
      <c r="D30" s="16" t="b">
        <f>Home!B87</f>
        <v>0</v>
      </c>
      <c r="E30" s="15" t="s">
        <v>1034</v>
      </c>
      <c r="F30" s="15" t="s">
        <v>1092</v>
      </c>
      <c r="G30" s="15" t="s">
        <v>1161</v>
      </c>
      <c r="P30" s="15" t="b">
        <f>Home!B87</f>
        <v>0</v>
      </c>
      <c r="Q30" s="15" t="b">
        <f>Home!B88</f>
        <v>0</v>
      </c>
      <c r="R30" s="51" t="str">
        <f t="shared" si="0"/>
        <v>Ï</v>
      </c>
    </row>
    <row r="31" spans="1:18" ht="58">
      <c r="A31" s="16" t="str">
        <f>Home!A92</f>
        <v>12. Lifting operations (cranes, hoists, forklifts)</v>
      </c>
      <c r="B31" s="17" t="s">
        <v>1035</v>
      </c>
      <c r="C31" s="41" t="str">
        <f>IF(IF(Home!B93=Home!B94,"",Home!B93)=TRUE,F31,G31)</f>
        <v>Lifting-operation control is not applied.</v>
      </c>
      <c r="D31" s="16" t="b">
        <f>Home!B93</f>
        <v>0</v>
      </c>
      <c r="E31" s="15" t="s">
        <v>1035</v>
      </c>
      <c r="F31" s="15" t="s">
        <v>1093</v>
      </c>
      <c r="G31" s="15" t="s">
        <v>1162</v>
      </c>
      <c r="P31" s="15" t="b">
        <f>Home!B93</f>
        <v>0</v>
      </c>
      <c r="Q31" s="15" t="b">
        <f>Home!B94</f>
        <v>0</v>
      </c>
      <c r="R31" s="51" t="str">
        <f t="shared" si="0"/>
        <v>Ï</v>
      </c>
    </row>
    <row r="32" spans="1:18" ht="58">
      <c r="A32" s="16" t="str">
        <f>Home!A98</f>
        <v>13. Welding, cutting, or hot work activities</v>
      </c>
      <c r="B32" s="17" t="s">
        <v>1036</v>
      </c>
      <c r="C32" s="41" t="str">
        <f>IF(IF(Home!B99=Home!B100,"",Home!B99)=TRUE,F32,G32)</f>
        <v>Hot-work-specific control is not applied.</v>
      </c>
      <c r="D32" s="16" t="b">
        <f>Home!B99</f>
        <v>0</v>
      </c>
      <c r="E32" s="15" t="s">
        <v>1036</v>
      </c>
      <c r="F32" s="15" t="s">
        <v>1094</v>
      </c>
      <c r="G32" s="15" t="s">
        <v>1163</v>
      </c>
      <c r="P32" s="15" t="b">
        <f>Home!B99</f>
        <v>0</v>
      </c>
      <c r="Q32" s="15" t="b">
        <f>Home!B100</f>
        <v>0</v>
      </c>
      <c r="R32" s="51" t="str">
        <f t="shared" si="0"/>
        <v>Ï</v>
      </c>
    </row>
    <row r="33" spans="1:18" ht="72.5">
      <c r="A33" s="16" t="str">
        <f>Home!A104</f>
        <v>14. Use of pressure equipment or pressurised systems</v>
      </c>
      <c r="B33" s="17" t="s">
        <v>1037</v>
      </c>
      <c r="C33" s="41" t="str">
        <f>IF(IF(Home!B105=Home!B106,"",Home!B105)=TRUE,F33,G33)</f>
        <v>Pressure-system CF control is not applied.</v>
      </c>
      <c r="D33" s="16" t="b">
        <f>Home!B105</f>
        <v>0</v>
      </c>
      <c r="E33" s="15" t="s">
        <v>1037</v>
      </c>
      <c r="F33" s="15" t="s">
        <v>1095</v>
      </c>
      <c r="G33" s="15" t="s">
        <v>1164</v>
      </c>
      <c r="P33" s="15" t="b">
        <f>Home!B105</f>
        <v>0</v>
      </c>
      <c r="Q33" s="15" t="b">
        <f>Home!B106</f>
        <v>0</v>
      </c>
      <c r="R33" s="51" t="str">
        <f t="shared" si="0"/>
        <v>Ï</v>
      </c>
    </row>
    <row r="34" spans="1:18" ht="58">
      <c r="A34" s="16" t="str">
        <f>Home!A110</f>
        <v>15. Operation of mobile machinery or industrial vehicles</v>
      </c>
      <c r="B34" s="17" t="s">
        <v>1038</v>
      </c>
      <c r="C34" s="41" t="str">
        <f>IF(IF(Home!B111=Home!B112,"",Home!B111)=TRUE,F34,G34)</f>
        <v>Mobile machinery control is not applied.</v>
      </c>
      <c r="D34" s="16" t="b">
        <f>Home!B111</f>
        <v>0</v>
      </c>
      <c r="E34" s="15" t="s">
        <v>1038</v>
      </c>
      <c r="F34" s="15" t="s">
        <v>1096</v>
      </c>
      <c r="G34" s="15" t="s">
        <v>1165</v>
      </c>
      <c r="P34" s="15" t="b">
        <f>Home!B111</f>
        <v>0</v>
      </c>
      <c r="Q34" s="15" t="b">
        <f>Home!B112</f>
        <v>0</v>
      </c>
      <c r="R34" s="51" t="str">
        <f t="shared" si="0"/>
        <v>Ï</v>
      </c>
    </row>
    <row r="35" spans="1:18" ht="43.5">
      <c r="A35" s="16" t="str">
        <f>Home!A116</f>
        <v>16. Manual handling of heavy loads</v>
      </c>
      <c r="B35" s="17" t="s">
        <v>1039</v>
      </c>
      <c r="C35" s="41" t="str">
        <f>IF(IF(Home!B117=Home!B118,"",Home!B117)=TRUE,F35,G35)</f>
        <v>Manual-handling control is not applied.</v>
      </c>
      <c r="D35" s="16" t="b">
        <f>Home!B117</f>
        <v>0</v>
      </c>
      <c r="E35" s="15" t="s">
        <v>1039</v>
      </c>
      <c r="F35" s="15" t="s">
        <v>1097</v>
      </c>
      <c r="G35" s="15" t="s">
        <v>1166</v>
      </c>
      <c r="P35" s="15" t="b">
        <f>Home!B117</f>
        <v>0</v>
      </c>
      <c r="Q35" s="15" t="b">
        <f>Home!B118</f>
        <v>0</v>
      </c>
      <c r="R35" s="51" t="str">
        <f t="shared" si="0"/>
        <v>Ï</v>
      </c>
    </row>
    <row r="36" spans="1:18" ht="58">
      <c r="A36" s="16" t="str">
        <f>Home!A122</f>
        <v>17. Maintenance or servicing activities involving equipment or machinery</v>
      </c>
      <c r="B36" s="17" t="s">
        <v>1040</v>
      </c>
      <c r="C36" s="41" t="str">
        <f>IF(IF(Home!B123=Home!B124,"",Home!B123)=TRUE,F36,G36)</f>
        <v>Maintenance-specific control is not applied.</v>
      </c>
      <c r="D36" s="16" t="b">
        <f>Home!B123</f>
        <v>0</v>
      </c>
      <c r="E36" s="15" t="s">
        <v>1040</v>
      </c>
      <c r="F36" s="15" t="s">
        <v>1098</v>
      </c>
      <c r="G36" s="15" t="s">
        <v>1167</v>
      </c>
      <c r="P36" s="15" t="b">
        <f>Home!B123</f>
        <v>0</v>
      </c>
      <c r="Q36" s="15" t="b">
        <f>Home!B124</f>
        <v>0</v>
      </c>
      <c r="R36" s="51" t="str">
        <f t="shared" si="0"/>
        <v>Ï</v>
      </c>
    </row>
    <row r="37" spans="1:18" ht="58">
      <c r="A37" s="16" t="str">
        <f>Home!A130</f>
        <v>18. Utilisation of hazardous chemicals (including fumes) at workplace</v>
      </c>
      <c r="B37" s="17" t="s">
        <v>1041</v>
      </c>
      <c r="C37" s="41" t="str">
        <f>IF(IF(Home!B131=Home!B132,"",Home!B131)=TRUE,F37,G37)</f>
        <v>Hazardous chemical control is not applied.</v>
      </c>
      <c r="D37" s="16" t="b">
        <f>Home!B131</f>
        <v>0</v>
      </c>
      <c r="E37" s="15" t="s">
        <v>1041</v>
      </c>
      <c r="F37" s="15" t="s">
        <v>1099</v>
      </c>
      <c r="G37" s="15" t="s">
        <v>1168</v>
      </c>
      <c r="P37" s="15" t="b">
        <f>Home!B131</f>
        <v>0</v>
      </c>
      <c r="Q37" s="15" t="b">
        <f>Home!B132</f>
        <v>0</v>
      </c>
      <c r="R37" s="51" t="str">
        <f t="shared" si="0"/>
        <v>Ï</v>
      </c>
    </row>
    <row r="38" spans="1:18" ht="43.5">
      <c r="A38" s="16" t="str">
        <f>Home!A136</f>
        <v>19. Storage of flammable or combustible substances</v>
      </c>
      <c r="B38" s="17" t="s">
        <v>1042</v>
      </c>
      <c r="C38" s="41" t="str">
        <f>IF(IF(Home!B137=Home!B138,"",Home!B137)=TRUE,F38,G38)</f>
        <v>Flammable/combustible storage control is not applied.</v>
      </c>
      <c r="D38" s="16" t="b">
        <f>Home!B137</f>
        <v>0</v>
      </c>
      <c r="E38" s="15" t="s">
        <v>1042</v>
      </c>
      <c r="F38" s="15" t="s">
        <v>1100</v>
      </c>
      <c r="G38" s="15" t="s">
        <v>1169</v>
      </c>
      <c r="P38" s="15" t="b">
        <f>Home!B137</f>
        <v>0</v>
      </c>
      <c r="Q38" s="15" t="b">
        <f>Home!B138</f>
        <v>0</v>
      </c>
      <c r="R38" s="51" t="str">
        <f t="shared" si="0"/>
        <v>Ï</v>
      </c>
    </row>
    <row r="39" spans="1:18" ht="58">
      <c r="A39" s="16" t="str">
        <f>Home!A143</f>
        <v>20. Use of pesticides with extremely hazardous chemicals</v>
      </c>
      <c r="B39" s="17" t="s">
        <v>1043</v>
      </c>
      <c r="C39" s="41" t="str">
        <f>IF(IF(Home!B144=Home!B145,"",Home!B144)=TRUE,F39,G39)</f>
        <v>Pesticide-specific control is not applied.</v>
      </c>
      <c r="D39" s="16" t="b">
        <f>Home!B144</f>
        <v>0</v>
      </c>
      <c r="E39" s="15" t="s">
        <v>1043</v>
      </c>
      <c r="F39" s="15" t="s">
        <v>1101</v>
      </c>
      <c r="G39" s="15" t="s">
        <v>1170</v>
      </c>
      <c r="P39" s="15" t="b">
        <f>Home!B144</f>
        <v>0</v>
      </c>
      <c r="Q39" s="15" t="b">
        <f>Home!B145</f>
        <v>0</v>
      </c>
      <c r="R39" s="51" t="str">
        <f t="shared" si="0"/>
        <v>Ï</v>
      </c>
    </row>
    <row r="40" spans="1:18" ht="58">
      <c r="A40" s="16" t="str">
        <f>Home!A149</f>
        <v>21. Generation of scheduled waste (e.g., oil, solvent, chemical waste)</v>
      </c>
      <c r="B40" s="17" t="s">
        <v>1044</v>
      </c>
      <c r="C40" s="41" t="str">
        <f>IF(IF(Home!B150=Home!B151,"",Home!B150)=TRUE,F40,G40)</f>
        <v>Scheduled waste control is not applied.</v>
      </c>
      <c r="D40" s="16" t="b">
        <f>Home!B150</f>
        <v>0</v>
      </c>
      <c r="E40" s="15" t="s">
        <v>1044</v>
      </c>
      <c r="F40" s="15" t="s">
        <v>1102</v>
      </c>
      <c r="G40" s="15" t="s">
        <v>1171</v>
      </c>
      <c r="P40" s="15" t="b">
        <f>Home!B150</f>
        <v>0</v>
      </c>
      <c r="Q40" s="15" t="b">
        <f>Home!B151</f>
        <v>0</v>
      </c>
      <c r="R40" s="51" t="str">
        <f t="shared" si="0"/>
        <v>Ï</v>
      </c>
    </row>
    <row r="41" spans="1:18" ht="58">
      <c r="A41" s="16" t="str">
        <f>Home!A155</f>
        <v>22. Use of compressed gas cylinders</v>
      </c>
      <c r="B41" s="17" t="s">
        <v>1045</v>
      </c>
      <c r="C41" s="41" t="str">
        <f>IF(IF(Home!B156=Home!B157,"",Home!B156)=TRUE,F41,G41)</f>
        <v>Compressed gas control is not applied.</v>
      </c>
      <c r="D41" s="16" t="b">
        <f>Home!B156</f>
        <v>0</v>
      </c>
      <c r="E41" s="15" t="s">
        <v>1045</v>
      </c>
      <c r="F41" s="15" t="s">
        <v>1103</v>
      </c>
      <c r="G41" s="15" t="s">
        <v>1172</v>
      </c>
      <c r="P41" s="15" t="b">
        <f>Home!B156</f>
        <v>0</v>
      </c>
      <c r="Q41" s="15" t="b">
        <f>Home!B157</f>
        <v>0</v>
      </c>
      <c r="R41" s="51" t="str">
        <f t="shared" si="0"/>
        <v>Ï</v>
      </c>
    </row>
    <row r="42" spans="1:18" ht="58">
      <c r="A42" s="16" t="str">
        <f>Home!A162</f>
        <v>23. Storage of diesel, fuel or petroleum products</v>
      </c>
      <c r="B42" s="17" t="s">
        <v>1046</v>
      </c>
      <c r="C42" s="41" t="str">
        <f>IF(IF(Home!B163=Home!B164,"",Home!B163)=TRUE,F42,G42)</f>
        <v>Fuel storage control is not applied.</v>
      </c>
      <c r="D42" s="16" t="b">
        <f>Home!B163</f>
        <v>0</v>
      </c>
      <c r="E42" s="15" t="s">
        <v>1046</v>
      </c>
      <c r="F42" s="15" t="s">
        <v>1104</v>
      </c>
      <c r="G42" s="15" t="s">
        <v>1173</v>
      </c>
      <c r="P42" s="15" t="b">
        <f>Home!B163</f>
        <v>0</v>
      </c>
      <c r="Q42" s="15" t="b">
        <f>Home!B164</f>
        <v>0</v>
      </c>
      <c r="R42" s="51" t="str">
        <f t="shared" si="0"/>
        <v>Ï</v>
      </c>
    </row>
    <row r="43" spans="1:18" ht="58">
      <c r="A43" s="16" t="str">
        <f>Home!A172</f>
        <v>24. Generation of air emissions (chimney, stack, generator exhaust)</v>
      </c>
      <c r="B43" s="17" t="s">
        <v>1047</v>
      </c>
      <c r="C43" s="41" t="str">
        <f>IF(IF(Home!B173=Home!B174,"",Home!B173)=TRUE,F43,G43)</f>
        <v>Air emission control is not applied.</v>
      </c>
      <c r="D43" s="16" t="b">
        <f>Home!B173</f>
        <v>0</v>
      </c>
      <c r="E43" s="15" t="s">
        <v>1047</v>
      </c>
      <c r="F43" s="15" t="s">
        <v>1105</v>
      </c>
      <c r="G43" s="15" t="s">
        <v>1174</v>
      </c>
      <c r="P43" s="15" t="b">
        <f>Home!B173</f>
        <v>0</v>
      </c>
      <c r="Q43" s="15" t="b">
        <f>Home!B174</f>
        <v>0</v>
      </c>
      <c r="R43" s="51" t="str">
        <f t="shared" si="0"/>
        <v>Ï</v>
      </c>
    </row>
    <row r="44" spans="1:18" ht="58">
      <c r="A44" s="16" t="str">
        <f>Home!A178</f>
        <v>25. Discharge of wastewater or industrial effluent</v>
      </c>
      <c r="B44" s="17" t="s">
        <v>1048</v>
      </c>
      <c r="C44" s="41" t="str">
        <f>IF(IF(Home!B179=Home!B180,"",Home!B179)=TRUE,F44,G44)</f>
        <v>Industrial effluent control is not applied.</v>
      </c>
      <c r="D44" s="16" t="b">
        <f>Home!B179</f>
        <v>0</v>
      </c>
      <c r="E44" s="15" t="s">
        <v>1048</v>
      </c>
      <c r="F44" s="15" t="s">
        <v>1106</v>
      </c>
      <c r="G44" s="15" t="s">
        <v>1175</v>
      </c>
      <c r="P44" s="15" t="b">
        <f>Home!B179</f>
        <v>0</v>
      </c>
      <c r="Q44" s="15" t="b">
        <f>Home!B180</f>
        <v>0</v>
      </c>
      <c r="R44" s="51" t="str">
        <f t="shared" si="0"/>
        <v>Ï</v>
      </c>
    </row>
    <row r="45" spans="1:18" ht="58">
      <c r="A45" s="16" t="str">
        <f>Home!A184</f>
        <v>26. Operation of sewage treatment plant</v>
      </c>
      <c r="B45" s="17" t="s">
        <v>1049</v>
      </c>
      <c r="C45" s="41" t="str">
        <f>IF(IF(Home!B185=Home!B186,"",Home!B185)=TRUE,F45,G45)</f>
        <v>Sewage treatment plant control is not applied.</v>
      </c>
      <c r="D45" s="16"/>
      <c r="E45" s="15" t="s">
        <v>1049</v>
      </c>
      <c r="F45" s="15" t="s">
        <v>1107</v>
      </c>
      <c r="G45" s="15" t="s">
        <v>1176</v>
      </c>
      <c r="P45" s="15" t="b">
        <f>Home!B185</f>
        <v>0</v>
      </c>
      <c r="Q45" s="15" t="b">
        <f>Home!B186</f>
        <v>0</v>
      </c>
      <c r="R45" s="51" t="str">
        <f t="shared" si="0"/>
        <v>Ï</v>
      </c>
    </row>
    <row r="46" spans="1:18" ht="58">
      <c r="A46" s="16" t="str">
        <f>Home!A190</f>
        <v>27. Generation of scheduled waste under DOE regulations</v>
      </c>
      <c r="B46" s="17" t="s">
        <v>1050</v>
      </c>
      <c r="C46" s="41" t="str">
        <f>IF(IF(Home!B191=Home!B192,"",Home!B191)=TRUE,F46,G46)</f>
        <v>DOE scheduled waste requirement is not applied.</v>
      </c>
      <c r="D46" s="16" t="b">
        <f>Home!B191</f>
        <v>0</v>
      </c>
      <c r="E46" s="15" t="s">
        <v>1050</v>
      </c>
      <c r="F46" s="15" t="s">
        <v>1108</v>
      </c>
      <c r="G46" s="15" t="s">
        <v>1177</v>
      </c>
      <c r="P46" s="15" t="b">
        <f>Home!B191</f>
        <v>0</v>
      </c>
      <c r="Q46" s="15" t="b">
        <f>Home!B192</f>
        <v>0</v>
      </c>
      <c r="R46" s="51" t="str">
        <f t="shared" si="0"/>
        <v>Ï</v>
      </c>
    </row>
    <row r="47" spans="1:18" ht="58">
      <c r="A47" s="16" t="str">
        <f>Home!A196</f>
        <v>28. Generation of noise from machinery or process</v>
      </c>
      <c r="B47" s="17" t="s">
        <v>1051</v>
      </c>
      <c r="C47" s="41" t="str">
        <f>IF(IF(Home!B197=Home!B198,"",Home!B197)=TRUE,F47,G47)</f>
        <v>Noise exposure control is not applied.</v>
      </c>
      <c r="D47" s="16" t="b">
        <f>Home!B197</f>
        <v>0</v>
      </c>
      <c r="E47" s="15" t="s">
        <v>1051</v>
      </c>
      <c r="F47" s="15" t="s">
        <v>1109</v>
      </c>
      <c r="G47" s="15" t="s">
        <v>1178</v>
      </c>
      <c r="P47" s="15" t="b">
        <f>Home!B197</f>
        <v>0</v>
      </c>
      <c r="Q47" s="15" t="b">
        <f>Home!B198</f>
        <v>0</v>
      </c>
      <c r="R47" s="51" t="str">
        <f t="shared" si="0"/>
        <v>Ï</v>
      </c>
    </row>
    <row r="48" spans="1:18" ht="58">
      <c r="A48" s="16" t="str">
        <f>Home!A202</f>
        <v>29. Storage of environmentally hazardous substances</v>
      </c>
      <c r="B48" s="17" t="s">
        <v>1052</v>
      </c>
      <c r="C48" s="41" t="str">
        <f>IF(IF(Home!B203=Home!B204,"",Home!B203)=TRUE,F48,G48)</f>
        <v>Environmentally hazardous substance control is not applied.</v>
      </c>
      <c r="D48" s="16" t="b">
        <f>Home!B203</f>
        <v>0</v>
      </c>
      <c r="E48" s="15" t="s">
        <v>1052</v>
      </c>
      <c r="F48" s="15" t="s">
        <v>1110</v>
      </c>
      <c r="G48" s="15" t="s">
        <v>1179</v>
      </c>
      <c r="P48" s="15" t="b">
        <f>Home!B203</f>
        <v>0</v>
      </c>
      <c r="Q48" s="15" t="b">
        <f>Home!B204</f>
        <v>0</v>
      </c>
      <c r="R48" s="51" t="str">
        <f t="shared" si="0"/>
        <v>Ï</v>
      </c>
    </row>
    <row r="49" spans="1:18" ht="58">
      <c r="A49" s="16" t="str">
        <f>Home!A208</f>
        <v>30. Use of cooling towers or water systems</v>
      </c>
      <c r="B49" s="17" t="s">
        <v>1053</v>
      </c>
      <c r="C49" s="41" t="str">
        <f>IF(IF(Home!B209=Home!B210,"",Home!B209)=TRUE,F49,G49)</f>
        <v>Cooling tower/water system control is not applied.</v>
      </c>
      <c r="D49" s="16" t="b">
        <f>Home!B209</f>
        <v>0</v>
      </c>
      <c r="E49" s="15" t="s">
        <v>1053</v>
      </c>
      <c r="F49" s="15" t="s">
        <v>1111</v>
      </c>
      <c r="G49" s="15" t="s">
        <v>1180</v>
      </c>
      <c r="P49" s="15" t="b">
        <f>Home!B209</f>
        <v>0</v>
      </c>
      <c r="Q49" s="15" t="b">
        <f>Home!B210</f>
        <v>0</v>
      </c>
      <c r="R49" s="51" t="str">
        <f t="shared" si="0"/>
        <v>Ï</v>
      </c>
    </row>
    <row r="50" spans="1:18" ht="58">
      <c r="A50" s="16" t="str">
        <f>Home!A217</f>
        <v>31. Workers exposed to noise &gt;85 dB(A)</v>
      </c>
      <c r="B50" s="17" t="s">
        <v>1054</v>
      </c>
      <c r="C50" s="41" t="str">
        <f>IF(IF(Home!B218=Home!B219,"",Home!B218)=TRUE,F50,G50)</f>
        <v>NRA/hearing conservation trigger is not confirmed.</v>
      </c>
      <c r="D50" s="16" t="b">
        <f>Home!B218</f>
        <v>0</v>
      </c>
      <c r="E50" s="15" t="s">
        <v>1054</v>
      </c>
      <c r="F50" s="15" t="s">
        <v>1112</v>
      </c>
      <c r="G50" s="15" t="s">
        <v>1142</v>
      </c>
      <c r="P50" s="15" t="b">
        <f>Home!B218</f>
        <v>0</v>
      </c>
      <c r="Q50" s="15" t="b">
        <f>Home!B219</f>
        <v>0</v>
      </c>
      <c r="R50" s="51" t="str">
        <f t="shared" si="0"/>
        <v>Ï</v>
      </c>
    </row>
    <row r="51" spans="1:18" ht="58">
      <c r="A51" s="16" t="str">
        <f>Home!A223</f>
        <v>32. Workers exposed to chemical vapour, dust, or fumes</v>
      </c>
      <c r="B51" s="17" t="s">
        <v>1055</v>
      </c>
      <c r="C51" s="41" t="str">
        <f>IF(IF(Home!B224=Home!B225,"",Home!B224)=TRUE,F51,G51)</f>
        <v>Chemical exposure control is not applied.</v>
      </c>
      <c r="D51" s="16" t="b">
        <f>Home!B224</f>
        <v>0</v>
      </c>
      <c r="E51" s="15" t="s">
        <v>1055</v>
      </c>
      <c r="F51" s="15" t="s">
        <v>1113</v>
      </c>
      <c r="G51" s="15" t="s">
        <v>1181</v>
      </c>
      <c r="P51" s="15" t="b">
        <f>Home!B224</f>
        <v>0</v>
      </c>
      <c r="Q51" s="15" t="b">
        <f>Home!B225</f>
        <v>0</v>
      </c>
      <c r="R51" s="51" t="str">
        <f t="shared" si="0"/>
        <v>Ï</v>
      </c>
    </row>
    <row r="52" spans="1:18" ht="43.5">
      <c r="A52" s="16" t="str">
        <f>Home!A229</f>
        <v>33. Workers exposed to heat stress</v>
      </c>
      <c r="B52" s="17" t="s">
        <v>1056</v>
      </c>
      <c r="C52" s="41" t="str">
        <f>IF(IF(Home!B230=Home!B231,"",Home!B230)=TRUE,F52,G52)</f>
        <v>Heat stress control is not applied.</v>
      </c>
      <c r="D52" s="16" t="b">
        <f>Home!B230</f>
        <v>0</v>
      </c>
      <c r="E52" s="15" t="s">
        <v>1056</v>
      </c>
      <c r="F52" s="15" t="s">
        <v>1114</v>
      </c>
      <c r="G52" s="15" t="s">
        <v>1182</v>
      </c>
      <c r="P52" s="15" t="b">
        <f>Home!B230</f>
        <v>0</v>
      </c>
      <c r="Q52" s="15" t="b">
        <f>Home!B231</f>
        <v>0</v>
      </c>
      <c r="R52" s="51" t="str">
        <f t="shared" si="0"/>
        <v>Ï</v>
      </c>
    </row>
    <row r="53" spans="1:18" ht="43.5">
      <c r="A53" s="16" t="str">
        <f>Home!A235</f>
        <v>34. Indoor air quality concerns (air-conditioned workplace)</v>
      </c>
      <c r="B53" s="17" t="s">
        <v>1057</v>
      </c>
      <c r="C53" s="41" t="str">
        <f>IF(IF(Home!B236=Home!B237,"",Home!B236)=TRUE,F53,G53)</f>
        <v>IAQ-specific concern is not applied.</v>
      </c>
      <c r="D53" s="16"/>
      <c r="E53" s="15" t="s">
        <v>1057</v>
      </c>
      <c r="F53" s="15" t="s">
        <v>1115</v>
      </c>
      <c r="G53" s="15" t="s">
        <v>1183</v>
      </c>
      <c r="P53" s="15" t="b">
        <f>Home!B236</f>
        <v>0</v>
      </c>
      <c r="Q53" s="15" t="b">
        <f>Home!B237</f>
        <v>0</v>
      </c>
      <c r="R53" s="51" t="str">
        <f t="shared" si="0"/>
        <v>Ï</v>
      </c>
    </row>
    <row r="54" spans="1:18" ht="43.5">
      <c r="A54" s="16" t="str">
        <f>Home!A241</f>
        <v>35. Ergonomic risk activities</v>
      </c>
      <c r="B54" s="17" t="s">
        <v>1058</v>
      </c>
      <c r="C54" s="41" t="str">
        <f>IF(IF(Home!B242=Home!B243,"",Home!B242)=TRUE,F54,G54)</f>
        <v>Ergonomic control is not applied.</v>
      </c>
      <c r="D54" s="16"/>
      <c r="E54" s="15" t="s">
        <v>1058</v>
      </c>
      <c r="F54" s="15" t="s">
        <v>1116</v>
      </c>
      <c r="G54" s="15" t="s">
        <v>1184</v>
      </c>
      <c r="P54" s="15" t="b">
        <f>Home!B242</f>
        <v>0</v>
      </c>
      <c r="Q54" s="15" t="b">
        <f>Home!B243</f>
        <v>0</v>
      </c>
      <c r="R54" s="51" t="str">
        <f t="shared" si="0"/>
        <v>Ï</v>
      </c>
    </row>
    <row r="55" spans="1:18">
      <c r="A55" s="16" t="str">
        <f>Home!A249</f>
        <v>36. Tick which applicable:</v>
      </c>
      <c r="B55" s="17"/>
      <c r="C55" s="42"/>
      <c r="D55" s="16"/>
      <c r="R55" s="51" t="str">
        <f t="shared" si="0"/>
        <v>Ï</v>
      </c>
    </row>
    <row r="56" spans="1:18" ht="29">
      <c r="A56" s="16" t="str">
        <f>Home!A250</f>
        <v>Hostels / Dormitories</v>
      </c>
      <c r="B56" s="17" t="s">
        <v>1205</v>
      </c>
      <c r="C56" s="41" t="str">
        <f>IF(Home!B250=TRUE,"applicable","Not applicable")</f>
        <v>Not applicable</v>
      </c>
      <c r="D56" s="16"/>
      <c r="E56" s="15" t="s">
        <v>1059</v>
      </c>
      <c r="F56" s="15" t="s">
        <v>1117</v>
      </c>
      <c r="G56" s="15" t="s">
        <v>1143</v>
      </c>
      <c r="P56" s="15" t="b">
        <f>Home!B250</f>
        <v>0</v>
      </c>
      <c r="R56" s="51" t="str">
        <f t="shared" si="0"/>
        <v>Ï</v>
      </c>
    </row>
    <row r="57" spans="1:18" ht="29">
      <c r="A57" s="16" t="str">
        <f>Home!A251</f>
        <v>Office buildings</v>
      </c>
      <c r="B57" s="17" t="s">
        <v>1205</v>
      </c>
      <c r="C57" s="41" t="str">
        <f>IF(Home!B251=TRUE,"applicable","Not applicable")</f>
        <v>Not applicable</v>
      </c>
      <c r="D57" s="16"/>
      <c r="E57" s="15" t="s">
        <v>1060</v>
      </c>
      <c r="F57" s="15" t="s">
        <v>1118</v>
      </c>
      <c r="G57" s="15" t="s">
        <v>1144</v>
      </c>
      <c r="P57" s="15" t="b">
        <f>Home!B251</f>
        <v>0</v>
      </c>
      <c r="R57" s="51" t="str">
        <f t="shared" si="0"/>
        <v>Ï</v>
      </c>
    </row>
    <row r="58" spans="1:18" ht="29">
      <c r="A58" s="16" t="str">
        <f>Home!A252</f>
        <v>Shops / Retail</v>
      </c>
      <c r="B58" s="17" t="s">
        <v>1205</v>
      </c>
      <c r="C58" s="41" t="str">
        <f>IF(Home!B252=TRUE,"applicable","Not applicable")</f>
        <v>Not applicable</v>
      </c>
      <c r="D58" s="16"/>
      <c r="E58" s="15" t="s">
        <v>1061</v>
      </c>
      <c r="F58" s="15" t="s">
        <v>1119</v>
      </c>
      <c r="G58" s="15" t="s">
        <v>1145</v>
      </c>
      <c r="P58" s="15" t="b">
        <f>Home!B252</f>
        <v>0</v>
      </c>
      <c r="R58" s="51" t="str">
        <f t="shared" si="0"/>
        <v>Ï</v>
      </c>
    </row>
    <row r="59" spans="1:18" ht="29">
      <c r="A59" s="16" t="str">
        <f>Home!A253</f>
        <v>Factories</v>
      </c>
      <c r="B59" s="17" t="s">
        <v>1205</v>
      </c>
      <c r="C59" s="41" t="str">
        <f>IF(Home!B253=TRUE,"applicable","Not applicable")</f>
        <v>Not applicable</v>
      </c>
      <c r="D59" s="16"/>
      <c r="E59" s="15" t="s">
        <v>1062</v>
      </c>
      <c r="F59" s="15" t="s">
        <v>1119</v>
      </c>
      <c r="G59" s="15" t="s">
        <v>1146</v>
      </c>
      <c r="P59" s="15" t="b">
        <f>Home!B253</f>
        <v>0</v>
      </c>
      <c r="R59" s="51" t="str">
        <f t="shared" si="0"/>
        <v>Ï</v>
      </c>
    </row>
    <row r="60" spans="1:18" ht="29">
      <c r="A60" s="16" t="str">
        <f>Home!A254</f>
        <v>Assembly premises</v>
      </c>
      <c r="B60" s="17" t="s">
        <v>1205</v>
      </c>
      <c r="C60" s="41" t="str">
        <f>IF(Home!B254=TRUE,"applicable","Not applicable")</f>
        <v>Not applicable</v>
      </c>
      <c r="D60" s="16"/>
      <c r="E60" s="15" t="s">
        <v>1063</v>
      </c>
      <c r="F60" s="15" t="s">
        <v>1119</v>
      </c>
      <c r="G60" s="15" t="s">
        <v>1147</v>
      </c>
      <c r="P60" s="15" t="b">
        <f>Home!B254</f>
        <v>0</v>
      </c>
      <c r="R60" s="51" t="str">
        <f t="shared" si="0"/>
        <v>Ï</v>
      </c>
    </row>
    <row r="61" spans="1:18" ht="29">
      <c r="A61" s="16" t="str">
        <f>Home!A255</f>
        <v>Storage or warehouse</v>
      </c>
      <c r="B61" s="17" t="s">
        <v>1205</v>
      </c>
      <c r="C61" s="41" t="str">
        <f>IF(Home!B255=TRUE,"applicable","Not applicable")</f>
        <v>Not applicable</v>
      </c>
      <c r="D61" s="16"/>
      <c r="E61" s="15" t="s">
        <v>1064</v>
      </c>
      <c r="F61" s="15" t="s">
        <v>1119</v>
      </c>
      <c r="G61" s="15" t="s">
        <v>1148</v>
      </c>
      <c r="P61" s="15" t="b">
        <f>Home!B255</f>
        <v>0</v>
      </c>
      <c r="R61" s="51" t="str">
        <f t="shared" si="0"/>
        <v>Ï</v>
      </c>
    </row>
    <row r="62" spans="1:18" ht="29">
      <c r="A62" s="16" t="str">
        <f>Home!A256</f>
        <v>Underground car park</v>
      </c>
      <c r="B62" s="17" t="s">
        <v>1205</v>
      </c>
      <c r="C62" s="41" t="str">
        <f>IF(Home!B256=TRUE,"applicable","Not applicable")</f>
        <v>Not applicable</v>
      </c>
      <c r="D62" s="16"/>
      <c r="E62" s="15" t="s">
        <v>1065</v>
      </c>
      <c r="F62" s="15" t="s">
        <v>1120</v>
      </c>
      <c r="G62" s="15" t="s">
        <v>1149</v>
      </c>
      <c r="P62" s="15" t="b">
        <f>Home!B256</f>
        <v>0</v>
      </c>
      <c r="R62" s="51" t="str">
        <f t="shared" si="0"/>
        <v>Ï</v>
      </c>
    </row>
    <row r="63" spans="1:18">
      <c r="A63" s="16" t="str">
        <f>Home!A259</f>
        <v>37. Availability of facilities, equipment and building features</v>
      </c>
      <c r="B63" s="17"/>
      <c r="C63" s="42"/>
      <c r="D63" s="16"/>
      <c r="R63" s="51" t="str">
        <f t="shared" si="0"/>
        <v>Ï</v>
      </c>
    </row>
    <row r="64" spans="1:18">
      <c r="A64" s="16" t="str">
        <f>Home!A260</f>
        <v>Occupied building/structure</v>
      </c>
      <c r="B64" s="17" t="s">
        <v>2065</v>
      </c>
      <c r="C64" s="42" t="str">
        <f>IF(OR(Home!B260=TRUE,Home!B261=TRUE),"applicable","Not applicable")</f>
        <v>Not applicable</v>
      </c>
      <c r="D64" s="16" t="b">
        <f>Home!B260</f>
        <v>0</v>
      </c>
      <c r="E64" s="15" t="s">
        <v>2066</v>
      </c>
      <c r="F64" s="15" t="s">
        <v>2067</v>
      </c>
      <c r="R64" s="51"/>
    </row>
    <row r="65" spans="1:18">
      <c r="A65" s="16" t="str">
        <f>Home!A261</f>
        <v>Building renovation</v>
      </c>
      <c r="B65" s="17" t="s">
        <v>2065</v>
      </c>
      <c r="C65" s="42" t="str">
        <f>IF(OR(Home!B260=TRUE,Home!B261=TRUE),"applicable","Not applicable")</f>
        <v>Not applicable</v>
      </c>
      <c r="D65" s="16" t="b">
        <f>Home!B261</f>
        <v>0</v>
      </c>
      <c r="R65" s="51"/>
    </row>
    <row r="66" spans="1:18" ht="29">
      <c r="A66" s="16" t="str">
        <f>Home!A262</f>
        <v>Air compressor / Air receiver</v>
      </c>
      <c r="B66" s="17" t="s">
        <v>1206</v>
      </c>
      <c r="C66" s="42" t="str">
        <f>IF(Home!B262=TRUE,"applicable","Not applicable")</f>
        <v>Not applicable</v>
      </c>
      <c r="D66" s="16" t="b">
        <f>Home!B262</f>
        <v>0</v>
      </c>
      <c r="E66" s="15" t="s">
        <v>1066</v>
      </c>
      <c r="F66" s="15" t="s">
        <v>1121</v>
      </c>
      <c r="G66" s="15" t="s">
        <v>1150</v>
      </c>
      <c r="P66" s="15" t="b">
        <f>Home!B262</f>
        <v>0</v>
      </c>
      <c r="R66" s="51" t="str">
        <f t="shared" si="0"/>
        <v>Ï</v>
      </c>
    </row>
    <row r="67" spans="1:18" ht="29">
      <c r="A67" s="16" t="str">
        <f>Home!A263</f>
        <v xml:space="preserve"> Hoist / Lift / Crane</v>
      </c>
      <c r="B67" s="17" t="s">
        <v>1206</v>
      </c>
      <c r="C67" s="42" t="str">
        <f>IF(Home!B263=TRUE,"applicable","Not applicable")</f>
        <v>Not applicable</v>
      </c>
      <c r="D67" s="16" t="b">
        <f>Home!B263</f>
        <v>0</v>
      </c>
      <c r="E67" s="15" t="s">
        <v>1067</v>
      </c>
      <c r="F67" s="15" t="s">
        <v>1122</v>
      </c>
      <c r="G67" s="15" t="s">
        <v>1151</v>
      </c>
      <c r="P67" s="15" t="b">
        <f>Home!B263</f>
        <v>0</v>
      </c>
      <c r="R67" s="51" t="str">
        <f t="shared" si="0"/>
        <v>Ï</v>
      </c>
    </row>
    <row r="68" spans="1:18" ht="29">
      <c r="A68" s="16" t="str">
        <f>Home!A264</f>
        <v xml:space="preserve"> Generator set</v>
      </c>
      <c r="B68" s="17" t="s">
        <v>1207</v>
      </c>
      <c r="C68" s="42" t="str">
        <f>IF(Home!B264=TRUE,"applicable","Not applicable")</f>
        <v>Not applicable</v>
      </c>
      <c r="D68" s="16" t="b">
        <f>Home!B264</f>
        <v>0</v>
      </c>
      <c r="E68" s="15" t="s">
        <v>1068</v>
      </c>
      <c r="F68" s="15" t="s">
        <v>1123</v>
      </c>
      <c r="G68" s="15" t="s">
        <v>1185</v>
      </c>
      <c r="P68" s="15" t="b">
        <f>Home!B264</f>
        <v>0</v>
      </c>
      <c r="R68" s="51" t="str">
        <f t="shared" si="0"/>
        <v>Ï</v>
      </c>
    </row>
    <row r="69" spans="1:18" ht="43.5">
      <c r="A69" s="16" t="str">
        <f>Home!A265</f>
        <v xml:space="preserve"> Diesel storage tank</v>
      </c>
      <c r="B69" s="17" t="s">
        <v>1069</v>
      </c>
      <c r="C69" s="42" t="str">
        <f>IF(Home!B265=TRUE,"applicable","Not applicable")</f>
        <v>Not applicable</v>
      </c>
      <c r="D69" s="16" t="b">
        <f>Home!B265</f>
        <v>0</v>
      </c>
      <c r="E69" s="15" t="s">
        <v>1069</v>
      </c>
      <c r="F69" s="15" t="s">
        <v>1124</v>
      </c>
      <c r="G69" s="15" t="s">
        <v>1186</v>
      </c>
      <c r="P69" s="15" t="b">
        <f>Home!B265</f>
        <v>0</v>
      </c>
      <c r="R69" s="51" t="str">
        <f t="shared" si="0"/>
        <v>Ï</v>
      </c>
    </row>
    <row r="70" spans="1:18" ht="29">
      <c r="A70" s="16" t="str">
        <f>Home!A266</f>
        <v xml:space="preserve"> Scheduled waste store</v>
      </c>
      <c r="B70" s="17" t="s">
        <v>1208</v>
      </c>
      <c r="C70" s="42" t="str">
        <f>IF(Home!B266=TRUE,"applicable","Not applicable")</f>
        <v>Not applicable</v>
      </c>
      <c r="D70" s="16" t="b">
        <f>Home!B266</f>
        <v>0</v>
      </c>
      <c r="E70" s="15" t="s">
        <v>1070</v>
      </c>
      <c r="F70" s="15" t="s">
        <v>1125</v>
      </c>
      <c r="G70" s="15" t="s">
        <v>1187</v>
      </c>
      <c r="P70" s="15" t="b">
        <f>Home!B266</f>
        <v>0</v>
      </c>
      <c r="R70" s="51" t="str">
        <f t="shared" si="0"/>
        <v>Ï</v>
      </c>
    </row>
    <row r="71" spans="1:18" ht="29">
      <c r="A71" s="16" t="str">
        <f>Home!A267</f>
        <v>Chimney / Stack</v>
      </c>
      <c r="B71" s="17" t="s">
        <v>1071</v>
      </c>
      <c r="C71" s="42" t="str">
        <f>IF(Home!B267=TRUE,"applicable","Not applicable")</f>
        <v>Not applicable</v>
      </c>
      <c r="D71" s="16" t="b">
        <f>Home!B267</f>
        <v>0</v>
      </c>
      <c r="E71" s="15" t="s">
        <v>1071</v>
      </c>
      <c r="F71" s="15" t="s">
        <v>1126</v>
      </c>
      <c r="G71" s="15" t="s">
        <v>1188</v>
      </c>
      <c r="P71" s="15" t="b">
        <f>Home!B267</f>
        <v>0</v>
      </c>
      <c r="R71" s="51" t="str">
        <f t="shared" si="0"/>
        <v>Ï</v>
      </c>
    </row>
    <row r="72" spans="1:18" ht="29">
      <c r="A72" s="16" t="str">
        <f>Home!A268</f>
        <v>Steam boiler</v>
      </c>
      <c r="B72" s="17" t="s">
        <v>1209</v>
      </c>
      <c r="C72" s="42" t="str">
        <f>IF(Home!B268=TRUE,"applicable","Not applicable")</f>
        <v>Not applicable</v>
      </c>
      <c r="D72" s="16" t="b">
        <f>Home!B268</f>
        <v>0</v>
      </c>
      <c r="E72" s="15" t="s">
        <v>1072</v>
      </c>
      <c r="F72" s="15" t="s">
        <v>1127</v>
      </c>
      <c r="G72" s="15" t="s">
        <v>1152</v>
      </c>
      <c r="P72" s="15" t="b">
        <f>Home!B268</f>
        <v>0</v>
      </c>
      <c r="R72" s="51" t="str">
        <f t="shared" si="0"/>
        <v>Ï</v>
      </c>
    </row>
    <row r="73" spans="1:18" ht="43.5">
      <c r="A73" s="16" t="str">
        <f>Home!A269</f>
        <v>Wastewater treatment plant</v>
      </c>
      <c r="B73" s="17" t="s">
        <v>1073</v>
      </c>
      <c r="C73" s="42" t="str">
        <f>IF(Home!B269=TRUE,"applicable","Not applicable")</f>
        <v>Not applicable</v>
      </c>
      <c r="D73" s="16" t="b">
        <f>Home!B269</f>
        <v>0</v>
      </c>
      <c r="E73" s="15" t="s">
        <v>1073</v>
      </c>
      <c r="F73" s="15" t="s">
        <v>1128</v>
      </c>
      <c r="G73" s="15" t="s">
        <v>1189</v>
      </c>
      <c r="P73" s="15" t="b">
        <f>Home!B269</f>
        <v>0</v>
      </c>
      <c r="R73" s="51" t="str">
        <f t="shared" si="0"/>
        <v>Ï</v>
      </c>
    </row>
    <row r="74" spans="1:18" ht="29">
      <c r="A74" s="16" t="str">
        <f>Home!A270</f>
        <v>Sewage treatment plant</v>
      </c>
      <c r="B74" s="17" t="s">
        <v>1074</v>
      </c>
      <c r="C74" s="42" t="str">
        <f>IF(Home!B270=TRUE,"applicable","Not applicable")</f>
        <v>Not applicable</v>
      </c>
      <c r="D74" s="16" t="b">
        <f>Home!B270</f>
        <v>0</v>
      </c>
      <c r="E74" s="15" t="s">
        <v>1074</v>
      </c>
      <c r="F74" s="15" t="s">
        <v>1129</v>
      </c>
      <c r="G74" s="15" t="s">
        <v>1190</v>
      </c>
      <c r="P74" s="15" t="b">
        <f>Home!B270</f>
        <v>0</v>
      </c>
      <c r="R74" s="51" t="str">
        <f t="shared" si="0"/>
        <v>Ï</v>
      </c>
    </row>
    <row r="75" spans="1:18" ht="43.5">
      <c r="A75" s="16" t="str">
        <f>Home!A271</f>
        <v>Water system / septic tank</v>
      </c>
      <c r="B75" s="17" t="s">
        <v>1075</v>
      </c>
      <c r="C75" s="42" t="str">
        <f>IF(Home!B271=TRUE,"applicable","Not applicable")</f>
        <v>Not applicable</v>
      </c>
      <c r="D75" s="16" t="b">
        <f>Home!B271</f>
        <v>0</v>
      </c>
      <c r="E75" s="15" t="s">
        <v>1075</v>
      </c>
      <c r="F75" s="15" t="s">
        <v>1130</v>
      </c>
      <c r="G75" s="15" t="s">
        <v>1191</v>
      </c>
      <c r="P75" s="15" t="b">
        <f>Home!B271</f>
        <v>0</v>
      </c>
      <c r="R75" s="51" t="str">
        <f t="shared" si="0"/>
        <v>Ï</v>
      </c>
    </row>
    <row r="76" spans="1:18" ht="29">
      <c r="A76" s="16" t="str">
        <f>Home!A272</f>
        <v>Industrial vehicles / forklifts</v>
      </c>
      <c r="B76" s="17" t="s">
        <v>1076</v>
      </c>
      <c r="C76" s="42" t="str">
        <f>IF(Home!B272=TRUE,"applicable","Not applicable")</f>
        <v>Not applicable</v>
      </c>
      <c r="D76" s="16" t="b">
        <f>Home!B272</f>
        <v>0</v>
      </c>
      <c r="E76" s="15" t="s">
        <v>1076</v>
      </c>
      <c r="F76" s="15" t="s">
        <v>1131</v>
      </c>
      <c r="G76" s="15" t="s">
        <v>1192</v>
      </c>
      <c r="P76" s="15" t="b">
        <f>Home!B272</f>
        <v>0</v>
      </c>
      <c r="R76" s="51" t="str">
        <f t="shared" si="0"/>
        <v>Ï</v>
      </c>
    </row>
    <row r="77" spans="1:18" ht="43.5">
      <c r="A77" s="16" t="str">
        <f>Home!A273</f>
        <v>Cooling tower</v>
      </c>
      <c r="B77" s="17" t="s">
        <v>1077</v>
      </c>
      <c r="C77" s="42" t="str">
        <f>IF(Home!B273=TRUE,"applicable","Not applicable")</f>
        <v>Not applicable</v>
      </c>
      <c r="D77" s="16" t="b">
        <f>Home!B273</f>
        <v>0</v>
      </c>
      <c r="E77" s="15" t="s">
        <v>1077</v>
      </c>
      <c r="F77" s="15" t="s">
        <v>1132</v>
      </c>
      <c r="G77" s="15" t="s">
        <v>1193</v>
      </c>
      <c r="P77" s="15" t="b">
        <f>Home!B273</f>
        <v>0</v>
      </c>
      <c r="R77" s="51" t="str">
        <f t="shared" si="0"/>
        <v>Ï</v>
      </c>
    </row>
    <row r="78" spans="1:18" ht="29">
      <c r="A78" s="16" t="str">
        <f>Home!A274</f>
        <v>Pressure vessels</v>
      </c>
      <c r="B78" s="17" t="s">
        <v>1210</v>
      </c>
      <c r="C78" s="42" t="str">
        <f>IF(Home!B274=TRUE,"applicable","Not applicable")</f>
        <v>Not applicable</v>
      </c>
      <c r="D78" s="16" t="b">
        <f>Home!B274</f>
        <v>0</v>
      </c>
      <c r="E78" s="15" t="s">
        <v>1037</v>
      </c>
      <c r="F78" s="15" t="s">
        <v>1121</v>
      </c>
      <c r="G78" s="15" t="s">
        <v>1153</v>
      </c>
      <c r="P78" s="15" t="b">
        <f>Home!B274</f>
        <v>0</v>
      </c>
      <c r="R78" s="51" t="str">
        <f t="shared" si="0"/>
        <v>Ï</v>
      </c>
    </row>
    <row r="79" spans="1:18" ht="43.5">
      <c r="A79" s="16" t="str">
        <f>Home!A275</f>
        <v>LPG storage</v>
      </c>
      <c r="B79" s="17" t="s">
        <v>1211</v>
      </c>
      <c r="C79" s="42" t="str">
        <f>IF(Home!B275=TRUE,"applicable","Not applicable")</f>
        <v>Not applicable</v>
      </c>
      <c r="D79" s="16" t="b">
        <f>Home!B275</f>
        <v>0</v>
      </c>
      <c r="E79" s="15" t="s">
        <v>1078</v>
      </c>
      <c r="F79" s="15" t="s">
        <v>1133</v>
      </c>
      <c r="G79" s="15" t="s">
        <v>1194</v>
      </c>
      <c r="P79" s="15" t="b">
        <f>Home!B275</f>
        <v>0</v>
      </c>
      <c r="R79" s="51" t="str">
        <f t="shared" si="0"/>
        <v>Ï</v>
      </c>
    </row>
    <row r="80" spans="1:18" ht="29">
      <c r="A80" s="16" t="str">
        <f>Home!A276</f>
        <v>Refrigerant</v>
      </c>
      <c r="B80" s="17" t="s">
        <v>1212</v>
      </c>
      <c r="C80" s="42" t="str">
        <f>IF(Home!B276=TRUE,"applicable","Not applicable")</f>
        <v>Not applicable</v>
      </c>
      <c r="D80" s="16" t="b">
        <f>Home!B276</f>
        <v>0</v>
      </c>
      <c r="E80" s="15" t="s">
        <v>1079</v>
      </c>
      <c r="F80" s="15" t="s">
        <v>1134</v>
      </c>
      <c r="G80" s="15" t="s">
        <v>1195</v>
      </c>
      <c r="P80" s="15" t="b">
        <f>Home!B276</f>
        <v>0</v>
      </c>
      <c r="R80" s="51" t="str">
        <f t="shared" si="0"/>
        <v>Ï</v>
      </c>
    </row>
    <row r="81" spans="1:18" ht="43.5">
      <c r="A81" s="16" t="str">
        <f>Home!A280</f>
        <v>38. Use of company vehicles for operations</v>
      </c>
      <c r="B81" s="17" t="s">
        <v>1080</v>
      </c>
      <c r="C81" s="41" t="str">
        <f>IF(IF(Home!B281=Home!B282,"",Home!B281)=TRUE,F81,G81)</f>
        <v>Company vehicle operation control is not applied.</v>
      </c>
      <c r="D81" s="16"/>
      <c r="E81" s="15" t="s">
        <v>1080</v>
      </c>
      <c r="F81" s="15" t="s">
        <v>1135</v>
      </c>
      <c r="G81" s="15" t="s">
        <v>1196</v>
      </c>
      <c r="P81" s="15" t="b">
        <f>Home!B281</f>
        <v>0</v>
      </c>
      <c r="Q81" s="15" t="b">
        <f>Home!B282</f>
        <v>0</v>
      </c>
      <c r="R81" s="51" t="str">
        <f t="shared" si="0"/>
        <v>Ï</v>
      </c>
    </row>
    <row r="82" spans="1:18" ht="58">
      <c r="A82" s="16" t="str">
        <f>Home!A286</f>
        <v>39. Transportation of hazardous materials</v>
      </c>
      <c r="B82" s="17" t="s">
        <v>1081</v>
      </c>
      <c r="C82" s="41" t="str">
        <f>IF(IF(Home!B287=Home!B288,"",Home!B287)=TRUE,F82,G82)</f>
        <v>Hazardous material transport control is not applied.</v>
      </c>
      <c r="D82" s="16"/>
      <c r="E82" s="15" t="s">
        <v>1081</v>
      </c>
      <c r="F82" s="15" t="s">
        <v>1136</v>
      </c>
      <c r="G82" s="15" t="s">
        <v>1197</v>
      </c>
      <c r="P82" s="15" t="b">
        <f>Home!B287</f>
        <v>0</v>
      </c>
      <c r="Q82" s="15" t="b">
        <f>Home!B288</f>
        <v>0</v>
      </c>
      <c r="R82" s="51" t="str">
        <f t="shared" si="0"/>
        <v>Ï</v>
      </c>
    </row>
    <row r="83" spans="1:18" ht="58">
      <c r="A83" s="16" t="str">
        <f>Home!A292</f>
        <v>40. Operation of forklifts or material handling vehicles</v>
      </c>
      <c r="B83" s="17" t="s">
        <v>1082</v>
      </c>
      <c r="C83" s="41" t="str">
        <f>IF(IF(Home!B293=Home!B294,"",Home!B293)=TRUE,F83,G83)</f>
        <v>Forklift/material handling control is not applied.</v>
      </c>
      <c r="D83" s="16" t="b">
        <f>Home!B293</f>
        <v>0</v>
      </c>
      <c r="E83" s="15" t="s">
        <v>1082</v>
      </c>
      <c r="F83" s="15" t="s">
        <v>1137</v>
      </c>
      <c r="G83" s="15" t="s">
        <v>1198</v>
      </c>
      <c r="P83" s="15" t="b">
        <f>Home!B293</f>
        <v>0</v>
      </c>
      <c r="Q83" s="15" t="b">
        <f>Home!B294</f>
        <v>0</v>
      </c>
      <c r="R83" s="51" t="str">
        <f t="shared" si="0"/>
        <v>Ï</v>
      </c>
    </row>
    <row r="84" spans="1:18" ht="58">
      <c r="A84" s="16" t="str">
        <f>Home!A300</f>
        <v>41. Premise located near river or water body</v>
      </c>
      <c r="B84" s="17" t="s">
        <v>1083</v>
      </c>
      <c r="C84" s="41" t="str">
        <f>IF(IF(Home!B301=Home!B302,"",Home!B301)=TRUE,F84,G84)</f>
        <v>River/water-body sensitivity control is not applied.</v>
      </c>
      <c r="D84" s="16"/>
      <c r="E84" s="15" t="s">
        <v>1083</v>
      </c>
      <c r="F84" s="15" t="s">
        <v>1138</v>
      </c>
      <c r="G84" s="15" t="s">
        <v>1199</v>
      </c>
      <c r="P84" s="15" t="b">
        <f>Home!B301</f>
        <v>0</v>
      </c>
      <c r="Q84" s="15" t="b">
        <f>Home!B302</f>
        <v>0</v>
      </c>
      <c r="R84" s="51" t="str">
        <f t="shared" si="0"/>
        <v>Ï</v>
      </c>
    </row>
    <row r="85" spans="1:18" ht="58">
      <c r="A85" s="16" t="str">
        <f>Home!A306</f>
        <v>42. Premise located near residential area</v>
      </c>
      <c r="B85" s="17" t="s">
        <v>1084</v>
      </c>
      <c r="C85" s="41" t="str">
        <f>IF(IF(Home!B307=Home!B308,"",Home!B307)=TRUE,F85,G85)</f>
        <v>Residential receptor sensitivity control is not applied.</v>
      </c>
      <c r="D85" s="16"/>
      <c r="E85" s="15" t="s">
        <v>1084</v>
      </c>
      <c r="F85" s="15" t="s">
        <v>1139</v>
      </c>
      <c r="G85" s="15" t="s">
        <v>1200</v>
      </c>
      <c r="P85" s="15" t="b">
        <f>Home!B307</f>
        <v>0</v>
      </c>
      <c r="Q85" s="15" t="b">
        <f>Home!B308</f>
        <v>0</v>
      </c>
      <c r="R85" s="51" t="str">
        <f t="shared" si="0"/>
        <v>Ï</v>
      </c>
    </row>
    <row r="86" spans="1:18" ht="58">
      <c r="A86" s="16" t="str">
        <f>Home!A312</f>
        <v>43. Activities involving land clearing or earthwork</v>
      </c>
      <c r="B86" s="17" t="s">
        <v>1085</v>
      </c>
      <c r="C86" s="41" t="str">
        <f>IF(IF(Home!B313=Home!B314,"",Home!B313)=TRUE,F86,G86)</f>
        <v>EIA/earthwork-specific control is not applied.</v>
      </c>
      <c r="D86" s="16"/>
      <c r="E86" s="15" t="s">
        <v>1085</v>
      </c>
      <c r="F86" s="15" t="s">
        <v>1140</v>
      </c>
      <c r="G86" s="15" t="s">
        <v>1201</v>
      </c>
      <c r="P86" s="15" t="b">
        <f>Home!B313</f>
        <v>0</v>
      </c>
      <c r="Q86" s="15" t="b">
        <f>Home!B314</f>
        <v>0</v>
      </c>
      <c r="R86" s="51" t="str">
        <f t="shared" si="0"/>
        <v>Ï</v>
      </c>
    </row>
    <row r="87" spans="1:18" ht="58">
      <c r="A87" s="57" t="str">
        <f>Home!A318</f>
        <v>44. Operation of solid waste transfer station or landfill</v>
      </c>
      <c r="B87" s="58" t="s">
        <v>1297</v>
      </c>
      <c r="C87" s="41" t="str">
        <f>IF(IF(Home!B319=Home!B320,"",Home!B319)=TRUE,F87,G87)</f>
        <v>This regulation is not applicable</v>
      </c>
      <c r="D87" s="16"/>
      <c r="E87" s="60"/>
      <c r="F87" s="60" t="s">
        <v>1298</v>
      </c>
      <c r="G87" s="15" t="s">
        <v>1299</v>
      </c>
      <c r="R87" s="51"/>
    </row>
    <row r="88" spans="1:18">
      <c r="A88" s="57"/>
      <c r="B88" s="58"/>
      <c r="C88" s="59"/>
      <c r="R88" s="51"/>
    </row>
    <row r="89" spans="1:18">
      <c r="A89" s="57"/>
      <c r="B89" s="58"/>
      <c r="C89" s="59"/>
      <c r="R89" s="51"/>
    </row>
    <row r="90" spans="1:18">
      <c r="A90" s="57"/>
      <c r="B90" s="58"/>
      <c r="C90" s="59"/>
      <c r="R90" s="51"/>
    </row>
    <row r="92" spans="1:18">
      <c r="A92" s="18" t="s">
        <v>307</v>
      </c>
    </row>
    <row r="99" spans="1:9" ht="29">
      <c r="A99" s="15" t="s">
        <v>626</v>
      </c>
      <c r="B99" s="14" t="str">
        <f>IFERROR(VLOOKUP(Home!#REF!,'back-data'!$A$111:$I$115,2,FALSE),"")</f>
        <v/>
      </c>
      <c r="C99" s="14" t="e">
        <f>VLOOKUP(Home!#REF!,'back-data'!$A$111:$I$115,2,FALSE)</f>
        <v>#REF!</v>
      </c>
    </row>
    <row r="100" spans="1:9">
      <c r="A100" s="15" t="s">
        <v>627</v>
      </c>
      <c r="B100" s="14" t="str">
        <f>IFERROR(IF(VLOOKUP(Home!#REF!,'back-data'!$A$111:$I$115,3,FALSE)=0,"",VLOOKUP(Home!#REF!,'back-data'!$A$111:$I$115,3,FALSE)),"")</f>
        <v/>
      </c>
    </row>
    <row r="101" spans="1:9">
      <c r="A101" s="15" t="s">
        <v>628</v>
      </c>
      <c r="B101" s="14" t="str">
        <f>IFERROR(IF(VLOOKUP(Home!#REF!,'back-data'!$A$111:$I$115,4,FALSE)=0,"",VLOOKUP(Home!#REF!,'back-data'!$A$111:$I$115,4,FALSE)),"")</f>
        <v/>
      </c>
    </row>
    <row r="102" spans="1:9">
      <c r="A102" s="15" t="s">
        <v>629</v>
      </c>
      <c r="B102" s="14" t="str">
        <f>IFERROR(IF(VLOOKUP(Home!#REF!,'back-data'!$A$111:$I$115,5,FALSE)=0,"",VLOOKUP(Home!#REF!,'back-data'!$A$111:$I$115,5,FALSE)),"")</f>
        <v/>
      </c>
    </row>
    <row r="103" spans="1:9">
      <c r="A103" s="15" t="s">
        <v>630</v>
      </c>
      <c r="B103" s="14" t="str">
        <f>IFERROR(IF(VLOOKUP(Home!#REF!,'back-data'!$A$111:$I$115,6,FALSE)=0,"",VLOOKUP(Home!#REF!,'back-data'!$A$111:$I$115,6,FALSE)),"")</f>
        <v/>
      </c>
    </row>
    <row r="104" spans="1:9">
      <c r="B104" s="14" t="str">
        <f>IFERROR(IF(VLOOKUP(Home!#REF!,'back-data'!$A$111:$I$115,7,FALSE)=0,"",VLOOKUP(Home!#REF!,'back-data'!$A$111:$I$115,7,FALSE)),"")</f>
        <v/>
      </c>
    </row>
    <row r="105" spans="1:9">
      <c r="B105" s="14" t="str">
        <f>IFERROR(IF(VLOOKUP(Home!#REF!,'back-data'!$A$111:$I$115,8,FALSE)=0,"",VLOOKUP(Home!#REF!,'back-data'!$A$111:$I$115,8,FALSE)),"")</f>
        <v/>
      </c>
    </row>
    <row r="106" spans="1:9">
      <c r="B106" s="14" t="str">
        <f>IFERROR(IF(VLOOKUP(Home!#REF!,'back-data'!$A$111:$I$115,9,FALSE)=0,"",VLOOKUP(Home!#REF!,'back-data'!$A$111:$I$115,9,FALSE)),"")</f>
        <v/>
      </c>
    </row>
    <row r="110" spans="1:9">
      <c r="A110" s="15">
        <v>1</v>
      </c>
      <c r="B110" s="14">
        <v>2</v>
      </c>
      <c r="C110" s="14">
        <v>3</v>
      </c>
      <c r="D110" s="15">
        <v>4</v>
      </c>
      <c r="E110" s="15">
        <v>5</v>
      </c>
      <c r="F110" s="15">
        <v>6</v>
      </c>
      <c r="G110" s="15">
        <v>7</v>
      </c>
      <c r="H110" s="15">
        <v>8</v>
      </c>
      <c r="I110" s="15">
        <v>9</v>
      </c>
    </row>
    <row r="111" spans="1:9">
      <c r="A111" s="15" t="s">
        <v>626</v>
      </c>
      <c r="B111" s="15" t="s">
        <v>643</v>
      </c>
      <c r="C111" s="14" t="s">
        <v>644</v>
      </c>
      <c r="D111" s="15" t="s">
        <v>1350</v>
      </c>
      <c r="E111" s="15" t="s">
        <v>1351</v>
      </c>
      <c r="F111" s="15" t="s">
        <v>645</v>
      </c>
      <c r="G111" s="15" t="s">
        <v>646</v>
      </c>
    </row>
    <row r="112" spans="1:9">
      <c r="A112" s="15" t="s">
        <v>627</v>
      </c>
      <c r="B112" s="15" t="s">
        <v>647</v>
      </c>
      <c r="C112" s="14" t="s">
        <v>648</v>
      </c>
      <c r="D112" s="15" t="s">
        <v>1352</v>
      </c>
      <c r="E112" s="15" t="s">
        <v>1353</v>
      </c>
      <c r="F112" s="15" t="s">
        <v>649</v>
      </c>
    </row>
    <row r="113" spans="1:9">
      <c r="A113" s="15" t="s">
        <v>628</v>
      </c>
      <c r="B113" s="15" t="s">
        <v>650</v>
      </c>
      <c r="C113" s="14" t="s">
        <v>651</v>
      </c>
      <c r="D113" s="15" t="s">
        <v>1354</v>
      </c>
      <c r="E113" s="15" t="s">
        <v>1355</v>
      </c>
    </row>
    <row r="114" spans="1:9">
      <c r="A114" s="15" t="s">
        <v>629</v>
      </c>
      <c r="B114" s="15" t="s">
        <v>652</v>
      </c>
    </row>
    <row r="115" spans="1:9">
      <c r="A115" s="15" t="s">
        <v>630</v>
      </c>
      <c r="B115" s="15" t="s">
        <v>653</v>
      </c>
      <c r="C115" s="14" t="s">
        <v>654</v>
      </c>
      <c r="D115" s="15" t="s">
        <v>1356</v>
      </c>
      <c r="E115" s="15" t="s">
        <v>1357</v>
      </c>
      <c r="F115" s="15" t="s">
        <v>655</v>
      </c>
      <c r="G115" s="15" t="s">
        <v>656</v>
      </c>
      <c r="H115" s="15" t="s">
        <v>657</v>
      </c>
      <c r="I115" s="15" t="s">
        <v>631</v>
      </c>
    </row>
    <row r="142" spans="1:1">
      <c r="A142" s="15" t="s">
        <v>2536</v>
      </c>
    </row>
    <row r="143" spans="1:1">
      <c r="A143" s="15" t="s">
        <v>2537</v>
      </c>
    </row>
    <row r="144" spans="1:1">
      <c r="A144" s="15" t="s">
        <v>2538</v>
      </c>
    </row>
    <row r="145" spans="1:1">
      <c r="A145" s="15" t="s">
        <v>2539</v>
      </c>
    </row>
    <row r="146" spans="1:1">
      <c r="A146" s="15" t="s">
        <v>2540</v>
      </c>
    </row>
    <row r="147" spans="1:1">
      <c r="A147" s="15" t="s">
        <v>634</v>
      </c>
    </row>
    <row r="149" spans="1:1">
      <c r="A149" s="15" t="s">
        <v>636</v>
      </c>
    </row>
    <row r="150" spans="1:1">
      <c r="A150" s="15" t="s">
        <v>637</v>
      </c>
    </row>
    <row r="151" spans="1:1">
      <c r="A151" s="15" t="s">
        <v>638</v>
      </c>
    </row>
    <row r="152" spans="1:1">
      <c r="A152" s="15" t="s">
        <v>639</v>
      </c>
    </row>
  </sheetData>
  <dataValidations count="1">
    <dataValidation allowBlank="1" showInputMessage="1" showErrorMessage="1" prompt="This column is to validate the applicability status of OSHA 1994, Section 20 &amp; 21" sqref="D18:D87" xr:uid="{47D904B0-5BEC-4148-8927-98BF1B6A6CC1}"/>
  </dataValidations>
  <pageMargins left="0.7" right="0.7" top="0.75" bottom="0.75" header="0.3" footer="0.3"/>
  <pageSetup scale="2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C5EB3-D07F-4E6D-90C0-787DB7DCFDF1}">
  <sheetPr>
    <tabColor rgb="FFFFFF00"/>
  </sheetPr>
  <dimension ref="A1:Q657"/>
  <sheetViews>
    <sheetView showGridLines="0" showRowColHeaders="0" workbookViewId="0">
      <selection activeCell="B8" sqref="B8"/>
    </sheetView>
  </sheetViews>
  <sheetFormatPr defaultRowHeight="14.5"/>
  <cols>
    <col min="1" max="1" width="13" customWidth="1"/>
    <col min="2" max="2" width="32" customWidth="1"/>
    <col min="3" max="3" width="18" customWidth="1"/>
    <col min="4" max="4" width="36" customWidth="1"/>
    <col min="5" max="5" width="18" customWidth="1"/>
    <col min="6" max="6" width="14" customWidth="1"/>
    <col min="7" max="7" width="16" customWidth="1"/>
    <col min="8" max="9" width="14" customWidth="1"/>
    <col min="10" max="10" width="32" customWidth="1"/>
    <col min="11" max="17" width="8.7265625" customWidth="1"/>
  </cols>
  <sheetData>
    <row r="1" spans="1:17" ht="21">
      <c r="A1" s="217" t="s">
        <v>1749</v>
      </c>
      <c r="B1" s="217"/>
      <c r="C1" s="217"/>
      <c r="D1" s="217"/>
      <c r="E1" s="217"/>
      <c r="F1" s="217"/>
      <c r="G1" s="217"/>
      <c r="H1" s="217"/>
      <c r="I1" s="217"/>
      <c r="J1" s="217"/>
    </row>
    <row r="2" spans="1:17">
      <c r="A2" s="218" t="s">
        <v>2533</v>
      </c>
      <c r="B2" s="218"/>
      <c r="C2" s="218"/>
      <c r="D2" s="218"/>
      <c r="E2" s="218"/>
      <c r="F2" s="218"/>
      <c r="G2" s="218"/>
      <c r="H2" s="218"/>
      <c r="I2" s="218"/>
      <c r="J2" s="218"/>
    </row>
    <row r="3" spans="1:17" ht="13.4" customHeight="1">
      <c r="A3" s="230" t="s">
        <v>2534</v>
      </c>
      <c r="B3" s="230"/>
      <c r="C3" s="230"/>
      <c r="D3" s="230"/>
      <c r="E3" s="230"/>
      <c r="F3" s="230"/>
      <c r="G3" s="230"/>
      <c r="H3" s="230"/>
      <c r="I3" s="230"/>
      <c r="J3" s="230"/>
    </row>
    <row r="4" spans="1:17" s="15" customFormat="1" ht="29">
      <c r="A4" s="231" t="s">
        <v>1750</v>
      </c>
      <c r="B4" s="231" t="s">
        <v>1751</v>
      </c>
      <c r="C4" s="231" t="s">
        <v>1752</v>
      </c>
      <c r="D4" s="231" t="s">
        <v>2037</v>
      </c>
      <c r="E4" s="231" t="s">
        <v>1846</v>
      </c>
      <c r="F4" s="231" t="s">
        <v>1616</v>
      </c>
      <c r="G4" s="231" t="s">
        <v>1753</v>
      </c>
      <c r="H4" s="231" t="s">
        <v>1754</v>
      </c>
      <c r="I4" s="231" t="s">
        <v>1576</v>
      </c>
      <c r="J4" s="231" t="s">
        <v>1755</v>
      </c>
    </row>
    <row r="5" spans="1:17" s="15" customFormat="1">
      <c r="A5" s="14" t="str">
        <f>IF($Q5="","",LEFT($Q5,FIND("♦",$Q5)-1))</f>
        <v/>
      </c>
      <c r="B5" s="14" t="str">
        <f>IF($Q5="","",MID($Q5,FIND("♦",$Q5)+1,FIND("♦",$Q5,FIND("♦",$Q5)+1)-FIND("♦",$Q5)-1))</f>
        <v/>
      </c>
      <c r="C5" s="14" t="str">
        <f t="shared" ref="C5:C68" si="0">IF($Q5="","","Not Comply")</f>
        <v/>
      </c>
      <c r="D5" s="14" t="str">
        <f>IF($Q5="","",MID($Q5,FIND("♦",$Q5,FIND("♦",$Q5)+1)+1,FIND("♦",$Q5,FIND("♦",$Q5,FIND("♦",$Q5)+1)+1)-FIND("♦",$Q5,FIND("♦",$Q5)+1)-1))</f>
        <v/>
      </c>
      <c r="E5" s="14" t="str">
        <f t="shared" ref="E5:E68" si="1">IF($Q5="","",RIGHT($Q5,LEN($Q5)-FIND("♦",$Q5,FIND("♦",$Q5,FIND("♦",$Q5)+1)+1)))</f>
        <v/>
      </c>
      <c r="F5" s="232"/>
      <c r="G5" s="14"/>
      <c r="H5" s="233" t="str">
        <f t="shared" ref="H5:H68" ca="1" si="2">IF(OR($B5="",G5="Closed",F5=""),"",F5-TODAY())</f>
        <v/>
      </c>
      <c r="I5" s="14" t="str">
        <f t="shared" ref="I5:I68" ca="1" si="3">IF($B5="","",IF(G5="Closed","Closed",IF(F5="","No Date",IF(F5&lt;TODAY(),"Overdue",IF(F5-TODAY()&lt;=7,"Due Soon","On Track")))))</f>
        <v/>
      </c>
      <c r="J5" s="14"/>
      <c r="K5" s="15" t="str">
        <f>IF(OSHA!F4="Not Comply",MAX($K$4:K4)+1,"")</f>
        <v/>
      </c>
      <c r="L5" s="15" t="str">
        <f>IF(OSHA!F4="Not Comply",T(OSHA!K4)&amp;"♦"&amp;T(OSHA!B4)&amp;"♦"&amp;T(OSHA!G4)&amp;"♦"&amp;T(OSHA!H4),"")</f>
        <v/>
      </c>
      <c r="Q5" s="15" t="str">
        <f>IFERROR(INDEX($L$5:$L$657,MATCH(ROWS($Q$5:Q5),$K$5:$K$657,0)),"")</f>
        <v/>
      </c>
    </row>
    <row r="6" spans="1:17" s="15" customFormat="1">
      <c r="A6" s="15" t="str">
        <f>IF($Q6="","",LEFT($Q6,FIND("♦",$Q6)-1))</f>
        <v/>
      </c>
      <c r="B6" s="14" t="str">
        <f t="shared" ref="B5:B68" si="4">IF($Q6="","",MID($Q6,FIND("♦",$Q6)+1,FIND("♦",$Q6,FIND("♦",$Q6)+1)-FIND("♦",$Q6)-1))</f>
        <v/>
      </c>
      <c r="C6" s="14" t="str">
        <f t="shared" si="0"/>
        <v/>
      </c>
      <c r="D6" s="14" t="str">
        <f t="shared" ref="D6:D69" si="5">IF($Q6="","",MID($Q6,FIND("♦",$Q6,FIND("♦",$Q6)+1)+1,FIND("♦",$Q6,FIND("♦",$Q6,FIND("♦",$Q6)+1)+1)-FIND("♦",$Q6,FIND("♦",$Q6)+1)-1))</f>
        <v/>
      </c>
      <c r="E6" s="14" t="str">
        <f t="shared" si="1"/>
        <v/>
      </c>
      <c r="F6" s="234"/>
      <c r="H6" s="235" t="str">
        <f t="shared" ca="1" si="2"/>
        <v/>
      </c>
      <c r="I6" s="15" t="str">
        <f t="shared" ca="1" si="3"/>
        <v/>
      </c>
      <c r="K6" s="15" t="str">
        <f>IF(OSHA!F5="Not Comply",MAX($K$4:K5)+1,"")</f>
        <v/>
      </c>
      <c r="L6" s="15" t="str">
        <f>IF(OSHA!F5="Not Comply",T(OSHA!K5)&amp;"♦"&amp;T(OSHA!B5)&amp;"♦"&amp;T(OSHA!G5)&amp;"♦"&amp;T(OSHA!H5),"")</f>
        <v/>
      </c>
      <c r="Q6" s="15" t="str">
        <f>IFERROR(INDEX($L$5:$L$657,MATCH(ROWS($Q$5:Q6),$K$5:$K$657,0)),"")</f>
        <v/>
      </c>
    </row>
    <row r="7" spans="1:17" s="15" customFormat="1">
      <c r="A7" s="15" t="str">
        <f t="shared" ref="A7:A70" si="6">IF($Q7="","",LEFT($Q7,FIND("♦",$Q7)-1))</f>
        <v/>
      </c>
      <c r="B7" s="14" t="str">
        <f t="shared" si="4"/>
        <v/>
      </c>
      <c r="C7" s="14" t="str">
        <f t="shared" si="0"/>
        <v/>
      </c>
      <c r="D7" s="14" t="str">
        <f>IF($Q7="","",MID($Q7,FIND("♦",$Q7,FIND("♦",$Q7)+1)+1,FIND("♦",$Q7,FIND("♦",$Q7,FIND("♦",$Q7)+1)+1)-FIND("♦",$Q7,FIND("♦",$Q7)+1)-1))</f>
        <v/>
      </c>
      <c r="E7" s="14" t="str">
        <f t="shared" si="1"/>
        <v/>
      </c>
      <c r="F7" s="234"/>
      <c r="H7" s="235" t="str">
        <f t="shared" ca="1" si="2"/>
        <v/>
      </c>
      <c r="I7" s="15" t="str">
        <f t="shared" ca="1" si="3"/>
        <v/>
      </c>
      <c r="K7" s="15" t="str">
        <f>IF(OSHA!F6="Not Comply",MAX($K$4:K6)+1,"")</f>
        <v/>
      </c>
      <c r="L7" s="15" t="str">
        <f>IF(OSHA!F6="Not Comply",T(OSHA!K6)&amp;"♦"&amp;T(OSHA!B6)&amp;"♦"&amp;T(OSHA!G6)&amp;"♦"&amp;T(OSHA!H6),"")</f>
        <v/>
      </c>
      <c r="Q7" s="15" t="str">
        <f>IFERROR(INDEX($L$5:$L$657,MATCH(ROWS($Q$5:Q7),$K$5:$K$657,0)),"")</f>
        <v/>
      </c>
    </row>
    <row r="8" spans="1:17" s="15" customFormat="1">
      <c r="A8" s="15" t="str">
        <f t="shared" si="6"/>
        <v/>
      </c>
      <c r="B8" s="14" t="str">
        <f t="shared" si="4"/>
        <v/>
      </c>
      <c r="C8" s="14" t="str">
        <f t="shared" si="0"/>
        <v/>
      </c>
      <c r="D8" s="14" t="str">
        <f t="shared" si="5"/>
        <v/>
      </c>
      <c r="E8" s="14" t="str">
        <f t="shared" si="1"/>
        <v/>
      </c>
      <c r="F8" s="234"/>
      <c r="H8" s="235" t="str">
        <f t="shared" ca="1" si="2"/>
        <v/>
      </c>
      <c r="I8" s="15" t="str">
        <f t="shared" ca="1" si="3"/>
        <v/>
      </c>
      <c r="K8" s="15" t="str">
        <f>IF(OSHA!F7="Not Comply",MAX($K$4:K7)+1,"")</f>
        <v/>
      </c>
      <c r="L8" s="15" t="str">
        <f>IF(OSHA!F7="Not Comply",T(OSHA!K7)&amp;"♦"&amp;T(OSHA!B7)&amp;"♦"&amp;T(OSHA!G7)&amp;"♦"&amp;T(OSHA!H7),"")</f>
        <v/>
      </c>
      <c r="Q8" s="15" t="str">
        <f>IFERROR(INDEX($L$5:$L$657,MATCH(ROWS($Q$5:Q8),$K$5:$K$657,0)),"")</f>
        <v/>
      </c>
    </row>
    <row r="9" spans="1:17" s="15" customFormat="1">
      <c r="A9" s="15" t="str">
        <f t="shared" si="6"/>
        <v/>
      </c>
      <c r="B9" s="14" t="str">
        <f t="shared" si="4"/>
        <v/>
      </c>
      <c r="C9" s="14" t="str">
        <f t="shared" si="0"/>
        <v/>
      </c>
      <c r="D9" s="14" t="str">
        <f t="shared" si="5"/>
        <v/>
      </c>
      <c r="E9" s="14" t="str">
        <f t="shared" si="1"/>
        <v/>
      </c>
      <c r="F9" s="234"/>
      <c r="H9" s="235" t="str">
        <f t="shared" ca="1" si="2"/>
        <v/>
      </c>
      <c r="I9" s="15" t="str">
        <f t="shared" ca="1" si="3"/>
        <v/>
      </c>
      <c r="K9" s="15" t="str">
        <f>IF(OSHA!F8="Not Comply",MAX($K$4:K8)+1,"")</f>
        <v/>
      </c>
      <c r="L9" s="15" t="str">
        <f>IF(OSHA!F8="Not Comply",T(OSHA!K8)&amp;"♦"&amp;T(OSHA!B8)&amp;"♦"&amp;T(OSHA!G8)&amp;"♦"&amp;T(OSHA!H8),"")</f>
        <v/>
      </c>
      <c r="Q9" s="15" t="str">
        <f>IFERROR(INDEX($L$5:$L$657,MATCH(ROWS($Q$5:Q9),$K$5:$K$657,0)),"")</f>
        <v/>
      </c>
    </row>
    <row r="10" spans="1:17" s="15" customFormat="1">
      <c r="A10" s="15" t="str">
        <f t="shared" si="6"/>
        <v/>
      </c>
      <c r="B10" s="14" t="str">
        <f t="shared" si="4"/>
        <v/>
      </c>
      <c r="C10" s="14" t="str">
        <f t="shared" si="0"/>
        <v/>
      </c>
      <c r="D10" s="14" t="str">
        <f t="shared" si="5"/>
        <v/>
      </c>
      <c r="E10" s="14" t="str">
        <f t="shared" si="1"/>
        <v/>
      </c>
      <c r="F10" s="234"/>
      <c r="H10" s="235" t="str">
        <f t="shared" ca="1" si="2"/>
        <v/>
      </c>
      <c r="I10" s="15" t="str">
        <f t="shared" ca="1" si="3"/>
        <v/>
      </c>
      <c r="K10" s="15" t="str">
        <f>IF(OSHA!F9="Not Comply",MAX($K$4:K9)+1,"")</f>
        <v/>
      </c>
      <c r="L10" s="15" t="str">
        <f>IF(OSHA!F9="Not Comply",T(OSHA!K9)&amp;"♦"&amp;T(OSHA!B9)&amp;"♦"&amp;T(OSHA!G9)&amp;"♦"&amp;T(OSHA!H9),"")</f>
        <v/>
      </c>
      <c r="Q10" s="15" t="str">
        <f>IFERROR(INDEX($L$5:$L$657,MATCH(ROWS($Q$5:Q10),$K$5:$K$657,0)),"")</f>
        <v/>
      </c>
    </row>
    <row r="11" spans="1:17" s="15" customFormat="1">
      <c r="A11" s="15" t="str">
        <f t="shared" si="6"/>
        <v/>
      </c>
      <c r="B11" s="14" t="str">
        <f t="shared" si="4"/>
        <v/>
      </c>
      <c r="C11" s="14" t="str">
        <f t="shared" si="0"/>
        <v/>
      </c>
      <c r="D11" s="14" t="str">
        <f t="shared" si="5"/>
        <v/>
      </c>
      <c r="E11" s="14" t="str">
        <f t="shared" si="1"/>
        <v/>
      </c>
      <c r="F11" s="234"/>
      <c r="H11" s="235" t="str">
        <f t="shared" ca="1" si="2"/>
        <v/>
      </c>
      <c r="I11" s="15" t="str">
        <f t="shared" ca="1" si="3"/>
        <v/>
      </c>
      <c r="K11" s="15" t="str">
        <f>IF(OSHA!F10="Not Comply",MAX($K$4:K10)+1,"")</f>
        <v/>
      </c>
      <c r="L11" s="15" t="str">
        <f>IF(OSHA!F10="Not Comply",T(OSHA!K10)&amp;"♦"&amp;T(OSHA!B10)&amp;"♦"&amp;T(OSHA!G10)&amp;"♦"&amp;T(OSHA!H10),"")</f>
        <v/>
      </c>
      <c r="Q11" s="15" t="str">
        <f>IFERROR(INDEX($L$5:$L$657,MATCH(ROWS($Q$5:Q11),$K$5:$K$657,0)),"")</f>
        <v/>
      </c>
    </row>
    <row r="12" spans="1:17" s="15" customFormat="1">
      <c r="A12" s="15" t="str">
        <f t="shared" si="6"/>
        <v/>
      </c>
      <c r="B12" s="14" t="str">
        <f t="shared" si="4"/>
        <v/>
      </c>
      <c r="C12" s="14" t="str">
        <f t="shared" si="0"/>
        <v/>
      </c>
      <c r="D12" s="14" t="str">
        <f t="shared" si="5"/>
        <v/>
      </c>
      <c r="E12" s="14" t="str">
        <f t="shared" si="1"/>
        <v/>
      </c>
      <c r="F12" s="234"/>
      <c r="H12" s="235" t="str">
        <f t="shared" ca="1" si="2"/>
        <v/>
      </c>
      <c r="I12" s="15" t="str">
        <f t="shared" ca="1" si="3"/>
        <v/>
      </c>
      <c r="K12" s="15" t="str">
        <f>IF(OSHA!F11="Not Comply",MAX($K$4:K11)+1,"")</f>
        <v/>
      </c>
      <c r="L12" s="15" t="str">
        <f>IF(OSHA!F11="Not Comply",T(OSHA!K11)&amp;"♦"&amp;T(OSHA!B11)&amp;"♦"&amp;T(OSHA!G11)&amp;"♦"&amp;T(OSHA!H11),"")</f>
        <v/>
      </c>
      <c r="Q12" s="15" t="str">
        <f>IFERROR(INDEX($L$5:$L$657,MATCH(ROWS($Q$5:Q12),$K$5:$K$657,0)),"")</f>
        <v/>
      </c>
    </row>
    <row r="13" spans="1:17" s="15" customFormat="1">
      <c r="A13" s="15" t="str">
        <f t="shared" si="6"/>
        <v/>
      </c>
      <c r="B13" s="14" t="str">
        <f t="shared" si="4"/>
        <v/>
      </c>
      <c r="C13" s="14" t="str">
        <f t="shared" si="0"/>
        <v/>
      </c>
      <c r="D13" s="14" t="str">
        <f t="shared" si="5"/>
        <v/>
      </c>
      <c r="E13" s="14" t="str">
        <f t="shared" si="1"/>
        <v/>
      </c>
      <c r="F13" s="234"/>
      <c r="H13" s="235" t="str">
        <f t="shared" ca="1" si="2"/>
        <v/>
      </c>
      <c r="I13" s="15" t="str">
        <f t="shared" ca="1" si="3"/>
        <v/>
      </c>
      <c r="K13" s="15" t="str">
        <f>IF(OSHA!F12="Not Comply",MAX($K$4:K12)+1,"")</f>
        <v/>
      </c>
      <c r="L13" s="15" t="str">
        <f>IF(OSHA!F12="Not Comply",T(OSHA!K12)&amp;"♦"&amp;T(OSHA!B12)&amp;"♦"&amp;T(OSHA!G12)&amp;"♦"&amp;T(OSHA!H12),"")</f>
        <v/>
      </c>
      <c r="Q13" s="15" t="str">
        <f>IFERROR(INDEX($L$5:$L$657,MATCH(ROWS($Q$5:Q13),$K$5:$K$657,0)),"")</f>
        <v/>
      </c>
    </row>
    <row r="14" spans="1:17" s="15" customFormat="1">
      <c r="A14" s="15" t="str">
        <f t="shared" si="6"/>
        <v/>
      </c>
      <c r="B14" s="14" t="str">
        <f t="shared" si="4"/>
        <v/>
      </c>
      <c r="C14" s="14" t="str">
        <f t="shared" si="0"/>
        <v/>
      </c>
      <c r="D14" s="14" t="str">
        <f t="shared" si="5"/>
        <v/>
      </c>
      <c r="E14" s="14" t="str">
        <f t="shared" si="1"/>
        <v/>
      </c>
      <c r="F14" s="234"/>
      <c r="H14" s="235" t="str">
        <f t="shared" ca="1" si="2"/>
        <v/>
      </c>
      <c r="I14" s="15" t="str">
        <f t="shared" ca="1" si="3"/>
        <v/>
      </c>
      <c r="K14" s="15" t="str">
        <f>IF(OSHA!F13="Not Comply",MAX($K$4:K13)+1,"")</f>
        <v/>
      </c>
      <c r="L14" s="15" t="str">
        <f>IF(OSHA!F13="Not Comply",T(OSHA!K13)&amp;"♦"&amp;T(OSHA!B13)&amp;"♦"&amp;T(OSHA!G13)&amp;"♦"&amp;T(OSHA!H13),"")</f>
        <v/>
      </c>
      <c r="Q14" s="15" t="str">
        <f>IFERROR(INDEX($L$5:$L$657,MATCH(ROWS($Q$5:Q14),$K$5:$K$657,0)),"")</f>
        <v/>
      </c>
    </row>
    <row r="15" spans="1:17" s="15" customFormat="1">
      <c r="A15" s="15" t="str">
        <f t="shared" si="6"/>
        <v/>
      </c>
      <c r="B15" s="14" t="str">
        <f t="shared" si="4"/>
        <v/>
      </c>
      <c r="C15" s="14" t="str">
        <f t="shared" si="0"/>
        <v/>
      </c>
      <c r="D15" s="14" t="str">
        <f t="shared" si="5"/>
        <v/>
      </c>
      <c r="E15" s="14" t="str">
        <f t="shared" si="1"/>
        <v/>
      </c>
      <c r="F15" s="234"/>
      <c r="H15" s="235" t="str">
        <f t="shared" ca="1" si="2"/>
        <v/>
      </c>
      <c r="I15" s="15" t="str">
        <f t="shared" ca="1" si="3"/>
        <v/>
      </c>
      <c r="K15" s="15" t="str">
        <f>IF(OSHA!F14="Not Comply",MAX($K$4:K14)+1,"")</f>
        <v/>
      </c>
      <c r="L15" s="15" t="str">
        <f>IF(OSHA!F14="Not Comply",T(OSHA!K14)&amp;"♦"&amp;T(OSHA!B14)&amp;"♦"&amp;T(OSHA!G14)&amp;"♦"&amp;T(OSHA!H14),"")</f>
        <v/>
      </c>
      <c r="Q15" s="15" t="str">
        <f>IFERROR(INDEX($L$5:$L$657,MATCH(ROWS($Q$5:Q15),$K$5:$K$657,0)),"")</f>
        <v/>
      </c>
    </row>
    <row r="16" spans="1:17" s="15" customFormat="1">
      <c r="A16" s="15" t="str">
        <f t="shared" si="6"/>
        <v/>
      </c>
      <c r="B16" s="14" t="str">
        <f t="shared" si="4"/>
        <v/>
      </c>
      <c r="C16" s="14" t="str">
        <f t="shared" si="0"/>
        <v/>
      </c>
      <c r="D16" s="14" t="str">
        <f t="shared" si="5"/>
        <v/>
      </c>
      <c r="E16" s="14" t="str">
        <f t="shared" si="1"/>
        <v/>
      </c>
      <c r="F16" s="234"/>
      <c r="H16" s="235" t="str">
        <f t="shared" ca="1" si="2"/>
        <v/>
      </c>
      <c r="I16" s="15" t="str">
        <f t="shared" ca="1" si="3"/>
        <v/>
      </c>
      <c r="K16" s="15" t="str">
        <f>IF(OSHA!F15="Not Comply",MAX($K$4:K15)+1,"")</f>
        <v/>
      </c>
      <c r="L16" s="15" t="str">
        <f>IF(OSHA!F15="Not Comply",T(OSHA!K15)&amp;"♦"&amp;T(OSHA!B15)&amp;"♦"&amp;T(OSHA!G15)&amp;"♦"&amp;T(OSHA!H15),"")</f>
        <v/>
      </c>
      <c r="Q16" s="15" t="str">
        <f>IFERROR(INDEX($L$5:$L$657,MATCH(ROWS($Q$5:Q16),$K$5:$K$657,0)),"")</f>
        <v/>
      </c>
    </row>
    <row r="17" spans="1:17" s="15" customFormat="1">
      <c r="A17" s="14" t="str">
        <f t="shared" si="6"/>
        <v/>
      </c>
      <c r="B17" s="14" t="str">
        <f t="shared" si="4"/>
        <v/>
      </c>
      <c r="C17" s="14" t="str">
        <f t="shared" si="0"/>
        <v/>
      </c>
      <c r="D17" s="14" t="str">
        <f t="shared" si="5"/>
        <v/>
      </c>
      <c r="E17" s="14" t="str">
        <f t="shared" si="1"/>
        <v/>
      </c>
      <c r="F17" s="232"/>
      <c r="G17" s="14"/>
      <c r="H17" s="233" t="str">
        <f t="shared" ca="1" si="2"/>
        <v/>
      </c>
      <c r="I17" s="14" t="str">
        <f t="shared" ca="1" si="3"/>
        <v/>
      </c>
      <c r="J17" s="14"/>
      <c r="K17" s="15" t="str">
        <f>IF(OSHA!F16="Not Comply",MAX($K$4:K16)+1,"")</f>
        <v/>
      </c>
      <c r="L17" s="15" t="str">
        <f>IF(OSHA!F16="Not Comply",T(OSHA!K16)&amp;"♦"&amp;T(OSHA!B16)&amp;"♦"&amp;T(OSHA!G16)&amp;"♦"&amp;T(OSHA!H16),"")</f>
        <v/>
      </c>
      <c r="Q17" s="15" t="str">
        <f>IFERROR(INDEX($L$5:$L$657,MATCH(ROWS($Q$5:Q17),$K$5:$K$657,0)),"")</f>
        <v/>
      </c>
    </row>
    <row r="18" spans="1:17" s="15" customFormat="1">
      <c r="A18" s="14" t="str">
        <f t="shared" si="6"/>
        <v/>
      </c>
      <c r="B18" s="14" t="str">
        <f t="shared" si="4"/>
        <v/>
      </c>
      <c r="C18" s="14" t="str">
        <f t="shared" si="0"/>
        <v/>
      </c>
      <c r="D18" s="14" t="str">
        <f t="shared" si="5"/>
        <v/>
      </c>
      <c r="E18" s="14" t="str">
        <f t="shared" si="1"/>
        <v/>
      </c>
      <c r="F18" s="232"/>
      <c r="G18" s="14"/>
      <c r="H18" s="233" t="str">
        <f t="shared" ca="1" si="2"/>
        <v/>
      </c>
      <c r="I18" s="14" t="str">
        <f t="shared" ca="1" si="3"/>
        <v/>
      </c>
      <c r="J18" s="14"/>
      <c r="K18" s="15" t="str">
        <f>IF(OSHA!F17="Not Comply",MAX($K$4:K17)+1,"")</f>
        <v/>
      </c>
      <c r="L18" s="15" t="str">
        <f>IF(OSHA!F17="Not Comply",T(OSHA!K17)&amp;"♦"&amp;T(OSHA!B17)&amp;"♦"&amp;T(OSHA!G17)&amp;"♦"&amp;T(OSHA!H17),"")</f>
        <v/>
      </c>
      <c r="Q18" s="15" t="str">
        <f>IFERROR(INDEX($L$5:$L$657,MATCH(ROWS($Q$5:Q18),$K$5:$K$657,0)),"")</f>
        <v/>
      </c>
    </row>
    <row r="19" spans="1:17" s="15" customFormat="1">
      <c r="A19" s="14" t="str">
        <f t="shared" si="6"/>
        <v/>
      </c>
      <c r="B19" s="14" t="str">
        <f t="shared" si="4"/>
        <v/>
      </c>
      <c r="C19" s="14" t="str">
        <f t="shared" si="0"/>
        <v/>
      </c>
      <c r="D19" s="14" t="str">
        <f t="shared" si="5"/>
        <v/>
      </c>
      <c r="E19" s="14" t="str">
        <f t="shared" si="1"/>
        <v/>
      </c>
      <c r="F19" s="232"/>
      <c r="G19" s="14"/>
      <c r="H19" s="233" t="str">
        <f t="shared" ca="1" si="2"/>
        <v/>
      </c>
      <c r="I19" s="14" t="str">
        <f t="shared" ca="1" si="3"/>
        <v/>
      </c>
      <c r="J19" s="14"/>
      <c r="K19" s="15" t="str">
        <f>IF(OSHA!F18="Not Comply",MAX($K$4:K18)+1,"")</f>
        <v/>
      </c>
      <c r="L19" s="15" t="str">
        <f>IF(OSHA!F18="Not Comply",T(OSHA!K18)&amp;"♦"&amp;T(OSHA!B18)&amp;"♦"&amp;T(OSHA!G18)&amp;"♦"&amp;T(OSHA!H18),"")</f>
        <v/>
      </c>
      <c r="Q19" s="15" t="str">
        <f>IFERROR(INDEX($L$5:$L$657,MATCH(ROWS($Q$5:Q19),$K$5:$K$657,0)),"")</f>
        <v/>
      </c>
    </row>
    <row r="20" spans="1:17" s="15" customFormat="1">
      <c r="A20" s="14" t="str">
        <f t="shared" si="6"/>
        <v/>
      </c>
      <c r="B20" s="14" t="str">
        <f t="shared" si="4"/>
        <v/>
      </c>
      <c r="C20" s="14" t="str">
        <f t="shared" si="0"/>
        <v/>
      </c>
      <c r="D20" s="14" t="str">
        <f t="shared" si="5"/>
        <v/>
      </c>
      <c r="E20" s="14" t="str">
        <f t="shared" si="1"/>
        <v/>
      </c>
      <c r="F20" s="232"/>
      <c r="G20" s="14"/>
      <c r="H20" s="233" t="str">
        <f t="shared" ca="1" si="2"/>
        <v/>
      </c>
      <c r="I20" s="14" t="str">
        <f t="shared" ca="1" si="3"/>
        <v/>
      </c>
      <c r="J20" s="14"/>
      <c r="K20" s="15" t="str">
        <f>IF(OSHA!F19="Not Comply",MAX($K$4:K19)+1,"")</f>
        <v/>
      </c>
      <c r="L20" s="15" t="str">
        <f>IF(OSHA!F19="Not Comply",T(OSHA!K19)&amp;"♦"&amp;T(OSHA!B19)&amp;"♦"&amp;T(OSHA!G19)&amp;"♦"&amp;T(OSHA!H19),"")</f>
        <v/>
      </c>
      <c r="Q20" s="15" t="str">
        <f>IFERROR(INDEX($L$5:$L$657,MATCH(ROWS($Q$5:Q20),$K$5:$K$657,0)),"")</f>
        <v/>
      </c>
    </row>
    <row r="21" spans="1:17" s="15" customFormat="1">
      <c r="A21" s="14" t="str">
        <f t="shared" si="6"/>
        <v/>
      </c>
      <c r="B21" s="14" t="str">
        <f t="shared" si="4"/>
        <v/>
      </c>
      <c r="C21" s="14" t="str">
        <f t="shared" si="0"/>
        <v/>
      </c>
      <c r="D21" s="14" t="str">
        <f t="shared" si="5"/>
        <v/>
      </c>
      <c r="E21" s="14" t="str">
        <f t="shared" si="1"/>
        <v/>
      </c>
      <c r="F21" s="232"/>
      <c r="G21" s="14"/>
      <c r="H21" s="233" t="str">
        <f t="shared" ca="1" si="2"/>
        <v/>
      </c>
      <c r="I21" s="14" t="str">
        <f t="shared" ca="1" si="3"/>
        <v/>
      </c>
      <c r="J21" s="14"/>
      <c r="K21" s="15" t="str">
        <f>IF(OSHA!F20="Not Comply",MAX($K$4:K20)+1,"")</f>
        <v/>
      </c>
      <c r="L21" s="15" t="str">
        <f>IF(OSHA!F20="Not Comply",T(OSHA!K20)&amp;"♦"&amp;T(OSHA!B20)&amp;"♦"&amp;T(OSHA!G20)&amp;"♦"&amp;T(OSHA!H20),"")</f>
        <v/>
      </c>
      <c r="Q21" s="15" t="str">
        <f>IFERROR(INDEX($L$5:$L$657,MATCH(ROWS($Q$5:Q21),$K$5:$K$657,0)),"")</f>
        <v/>
      </c>
    </row>
    <row r="22" spans="1:17" s="15" customFormat="1">
      <c r="A22" s="14" t="str">
        <f t="shared" si="6"/>
        <v/>
      </c>
      <c r="B22" s="14" t="str">
        <f t="shared" si="4"/>
        <v/>
      </c>
      <c r="C22" s="14" t="str">
        <f t="shared" si="0"/>
        <v/>
      </c>
      <c r="D22" s="14" t="str">
        <f t="shared" si="5"/>
        <v/>
      </c>
      <c r="E22" s="14" t="str">
        <f t="shared" si="1"/>
        <v/>
      </c>
      <c r="F22" s="232"/>
      <c r="G22" s="14"/>
      <c r="H22" s="233" t="str">
        <f t="shared" ca="1" si="2"/>
        <v/>
      </c>
      <c r="I22" s="14" t="str">
        <f t="shared" ca="1" si="3"/>
        <v/>
      </c>
      <c r="J22" s="14"/>
      <c r="K22" s="15" t="str">
        <f>IF(OSHA!F21="Not Comply",MAX($K$4:K21)+1,"")</f>
        <v/>
      </c>
      <c r="L22" s="15" t="str">
        <f>IF(OSHA!F21="Not Comply",T(OSHA!K21)&amp;"♦"&amp;T(OSHA!B21)&amp;"♦"&amp;T(OSHA!G21)&amp;"♦"&amp;T(OSHA!H21),"")</f>
        <v/>
      </c>
      <c r="Q22" s="15" t="str">
        <f>IFERROR(INDEX($L$5:$L$657,MATCH(ROWS($Q$5:Q22),$K$5:$K$657,0)),"")</f>
        <v/>
      </c>
    </row>
    <row r="23" spans="1:17" s="15" customFormat="1">
      <c r="A23" s="14" t="str">
        <f t="shared" si="6"/>
        <v/>
      </c>
      <c r="B23" s="14" t="str">
        <f t="shared" si="4"/>
        <v/>
      </c>
      <c r="C23" s="14" t="str">
        <f t="shared" si="0"/>
        <v/>
      </c>
      <c r="D23" s="14" t="str">
        <f t="shared" si="5"/>
        <v/>
      </c>
      <c r="E23" s="14" t="str">
        <f t="shared" si="1"/>
        <v/>
      </c>
      <c r="F23" s="232"/>
      <c r="G23" s="14"/>
      <c r="H23" s="233" t="str">
        <f t="shared" ca="1" si="2"/>
        <v/>
      </c>
      <c r="I23" s="14" t="str">
        <f t="shared" ca="1" si="3"/>
        <v/>
      </c>
      <c r="J23" s="14"/>
      <c r="K23" s="15" t="str">
        <f>IF(OSHA!F22="Not Comply",MAX($K$4:K22)+1,"")</f>
        <v/>
      </c>
      <c r="L23" s="15" t="str">
        <f>IF(OSHA!F22="Not Comply",T(OSHA!K22)&amp;"♦"&amp;T(OSHA!B22)&amp;"♦"&amp;T(OSHA!G22)&amp;"♦"&amp;T(OSHA!H22),"")</f>
        <v/>
      </c>
      <c r="Q23" s="15" t="str">
        <f>IFERROR(INDEX($L$5:$L$657,MATCH(ROWS($Q$5:Q23),$K$5:$K$657,0)),"")</f>
        <v/>
      </c>
    </row>
    <row r="24" spans="1:17" s="15" customFormat="1">
      <c r="A24" s="14" t="str">
        <f t="shared" si="6"/>
        <v/>
      </c>
      <c r="B24" s="14" t="str">
        <f t="shared" si="4"/>
        <v/>
      </c>
      <c r="C24" s="14" t="str">
        <f t="shared" si="0"/>
        <v/>
      </c>
      <c r="D24" s="14" t="str">
        <f t="shared" si="5"/>
        <v/>
      </c>
      <c r="E24" s="14" t="str">
        <f t="shared" si="1"/>
        <v/>
      </c>
      <c r="F24" s="232"/>
      <c r="G24" s="14"/>
      <c r="H24" s="233" t="str">
        <f t="shared" ca="1" si="2"/>
        <v/>
      </c>
      <c r="I24" s="14" t="str">
        <f t="shared" ca="1" si="3"/>
        <v/>
      </c>
      <c r="J24" s="14"/>
      <c r="K24" s="15" t="str">
        <f>IF(OSHA!F23="Not Comply",MAX($K$4:K23)+1,"")</f>
        <v/>
      </c>
      <c r="L24" s="15" t="str">
        <f>IF(OSHA!F23="Not Comply",T(OSHA!K23)&amp;"♦"&amp;T(OSHA!B23)&amp;"♦"&amp;T(OSHA!G23)&amp;"♦"&amp;T(OSHA!H23),"")</f>
        <v/>
      </c>
      <c r="Q24" s="15" t="str">
        <f>IFERROR(INDEX($L$5:$L$657,MATCH(ROWS($Q$5:Q24),$K$5:$K$657,0)),"")</f>
        <v/>
      </c>
    </row>
    <row r="25" spans="1:17" s="15" customFormat="1">
      <c r="A25" s="14" t="str">
        <f t="shared" si="6"/>
        <v/>
      </c>
      <c r="B25" s="14" t="str">
        <f t="shared" si="4"/>
        <v/>
      </c>
      <c r="C25" s="14" t="str">
        <f t="shared" si="0"/>
        <v/>
      </c>
      <c r="D25" s="14" t="str">
        <f t="shared" si="5"/>
        <v/>
      </c>
      <c r="E25" s="14" t="str">
        <f t="shared" si="1"/>
        <v/>
      </c>
      <c r="F25" s="232"/>
      <c r="G25" s="14"/>
      <c r="H25" s="233" t="str">
        <f t="shared" ca="1" si="2"/>
        <v/>
      </c>
      <c r="I25" s="14" t="str">
        <f t="shared" ca="1" si="3"/>
        <v/>
      </c>
      <c r="J25" s="14"/>
      <c r="K25" s="15" t="str">
        <f>IF(OSHA!F24="Not Comply",MAX($K$4:K24)+1,"")</f>
        <v/>
      </c>
      <c r="L25" s="15" t="str">
        <f>IF(OSHA!F24="Not Comply",T(OSHA!K24)&amp;"♦"&amp;T(OSHA!B24)&amp;"♦"&amp;T(OSHA!G24)&amp;"♦"&amp;T(OSHA!H24),"")</f>
        <v/>
      </c>
      <c r="Q25" s="15" t="str">
        <f>IFERROR(INDEX($L$5:$L$657,MATCH(ROWS($Q$5:Q25),$K$5:$K$657,0)),"")</f>
        <v/>
      </c>
    </row>
    <row r="26" spans="1:17" s="15" customFormat="1">
      <c r="A26" s="14" t="str">
        <f t="shared" si="6"/>
        <v/>
      </c>
      <c r="B26" s="14" t="str">
        <f t="shared" si="4"/>
        <v/>
      </c>
      <c r="C26" s="14" t="str">
        <f t="shared" si="0"/>
        <v/>
      </c>
      <c r="D26" s="14" t="str">
        <f t="shared" si="5"/>
        <v/>
      </c>
      <c r="E26" s="14" t="str">
        <f t="shared" si="1"/>
        <v/>
      </c>
      <c r="F26" s="232"/>
      <c r="G26" s="14"/>
      <c r="H26" s="233" t="str">
        <f t="shared" ca="1" si="2"/>
        <v/>
      </c>
      <c r="I26" s="14" t="str">
        <f t="shared" ca="1" si="3"/>
        <v/>
      </c>
      <c r="J26" s="14"/>
      <c r="K26" s="15" t="str">
        <f>IF(OSHA!F25="Not Comply",MAX($K$4:K25)+1,"")</f>
        <v/>
      </c>
      <c r="L26" s="15" t="str">
        <f>IF(OSHA!F25="Not Comply",T(OSHA!K25)&amp;"♦"&amp;T(OSHA!B25)&amp;"♦"&amp;T(OSHA!G25)&amp;"♦"&amp;T(OSHA!H25),"")</f>
        <v/>
      </c>
      <c r="Q26" s="15" t="str">
        <f>IFERROR(INDEX($L$5:$L$657,MATCH(ROWS($Q$5:Q26),$K$5:$K$657,0)),"")</f>
        <v/>
      </c>
    </row>
    <row r="27" spans="1:17" s="15" customFormat="1">
      <c r="A27" s="14" t="str">
        <f t="shared" si="6"/>
        <v/>
      </c>
      <c r="B27" s="14" t="str">
        <f t="shared" si="4"/>
        <v/>
      </c>
      <c r="C27" s="14" t="str">
        <f t="shared" si="0"/>
        <v/>
      </c>
      <c r="D27" s="14" t="str">
        <f t="shared" si="5"/>
        <v/>
      </c>
      <c r="E27" s="14" t="str">
        <f t="shared" si="1"/>
        <v/>
      </c>
      <c r="F27" s="232"/>
      <c r="G27" s="14"/>
      <c r="H27" s="233" t="str">
        <f t="shared" ca="1" si="2"/>
        <v/>
      </c>
      <c r="I27" s="14" t="str">
        <f t="shared" ca="1" si="3"/>
        <v/>
      </c>
      <c r="J27" s="14"/>
      <c r="K27" s="15" t="str">
        <f>IF(OSHA!F26="Not Comply",MAX($K$4:K26)+1,"")</f>
        <v/>
      </c>
      <c r="L27" s="15" t="str">
        <f>IF(OSHA!F26="Not Comply",T(OSHA!K26)&amp;"♦"&amp;T(OSHA!B26)&amp;"♦"&amp;T(OSHA!G26)&amp;"♦"&amp;T(OSHA!H26),"")</f>
        <v/>
      </c>
      <c r="Q27" s="15" t="str">
        <f>IFERROR(INDEX($L$5:$L$657,MATCH(ROWS($Q$5:Q27),$K$5:$K$657,0)),"")</f>
        <v/>
      </c>
    </row>
    <row r="28" spans="1:17" s="15" customFormat="1">
      <c r="A28" s="14" t="str">
        <f t="shared" si="6"/>
        <v/>
      </c>
      <c r="B28" s="14" t="str">
        <f t="shared" si="4"/>
        <v/>
      </c>
      <c r="C28" s="14" t="str">
        <f t="shared" si="0"/>
        <v/>
      </c>
      <c r="D28" s="14" t="str">
        <f t="shared" si="5"/>
        <v/>
      </c>
      <c r="E28" s="14" t="str">
        <f t="shared" si="1"/>
        <v/>
      </c>
      <c r="F28" s="232"/>
      <c r="G28" s="14"/>
      <c r="H28" s="233" t="str">
        <f t="shared" ca="1" si="2"/>
        <v/>
      </c>
      <c r="I28" s="14" t="str">
        <f t="shared" ca="1" si="3"/>
        <v/>
      </c>
      <c r="J28" s="14"/>
      <c r="K28" s="15" t="str">
        <f>IF(OSHA!F27="Not Comply",MAX($K$4:K27)+1,"")</f>
        <v/>
      </c>
      <c r="L28" s="15" t="str">
        <f>IF(OSHA!F27="Not Comply",T(OSHA!K27)&amp;"♦"&amp;T(OSHA!B27)&amp;"♦"&amp;T(OSHA!G27)&amp;"♦"&amp;T(OSHA!H27),"")</f>
        <v/>
      </c>
      <c r="Q28" s="15" t="str">
        <f>IFERROR(INDEX($L$5:$L$657,MATCH(ROWS($Q$5:Q28),$K$5:$K$657,0)),"")</f>
        <v/>
      </c>
    </row>
    <row r="29" spans="1:17" s="15" customFormat="1">
      <c r="A29" s="14" t="str">
        <f t="shared" si="6"/>
        <v/>
      </c>
      <c r="B29" s="14" t="str">
        <f t="shared" si="4"/>
        <v/>
      </c>
      <c r="C29" s="14" t="str">
        <f t="shared" si="0"/>
        <v/>
      </c>
      <c r="D29" s="14" t="str">
        <f t="shared" si="5"/>
        <v/>
      </c>
      <c r="E29" s="14" t="str">
        <f t="shared" si="1"/>
        <v/>
      </c>
      <c r="F29" s="232"/>
      <c r="G29" s="14"/>
      <c r="H29" s="233" t="str">
        <f t="shared" ca="1" si="2"/>
        <v/>
      </c>
      <c r="I29" s="14" t="str">
        <f t="shared" ca="1" si="3"/>
        <v/>
      </c>
      <c r="J29" s="14"/>
      <c r="K29" s="15" t="str">
        <f>IF(OSHA!F28="Not Comply",MAX($K$4:K28)+1,"")</f>
        <v/>
      </c>
      <c r="L29" s="15" t="str">
        <f>IF(OSHA!F28="Not Comply",T(OSHA!K28)&amp;"♦"&amp;T(OSHA!B28)&amp;"♦"&amp;T(OSHA!G28)&amp;"♦"&amp;T(OSHA!H28),"")</f>
        <v/>
      </c>
      <c r="Q29" s="15" t="str">
        <f>IFERROR(INDEX($L$5:$L$657,MATCH(ROWS($Q$5:Q29),$K$5:$K$657,0)),"")</f>
        <v/>
      </c>
    </row>
    <row r="30" spans="1:17" s="15" customFormat="1">
      <c r="A30" s="14" t="str">
        <f t="shared" si="6"/>
        <v/>
      </c>
      <c r="B30" s="14" t="str">
        <f t="shared" si="4"/>
        <v/>
      </c>
      <c r="C30" s="14" t="str">
        <f t="shared" si="0"/>
        <v/>
      </c>
      <c r="D30" s="14" t="str">
        <f t="shared" si="5"/>
        <v/>
      </c>
      <c r="E30" s="14" t="str">
        <f t="shared" si="1"/>
        <v/>
      </c>
      <c r="F30" s="232"/>
      <c r="G30" s="14"/>
      <c r="H30" s="233" t="str">
        <f t="shared" ca="1" si="2"/>
        <v/>
      </c>
      <c r="I30" s="14" t="str">
        <f t="shared" ca="1" si="3"/>
        <v/>
      </c>
      <c r="J30" s="14"/>
      <c r="K30" s="15" t="str">
        <f>IF(OSHA!F29="Not Comply",MAX($K$4:K29)+1,"")</f>
        <v/>
      </c>
      <c r="L30" s="15" t="str">
        <f>IF(OSHA!F29="Not Comply",T(OSHA!K29)&amp;"♦"&amp;T(OSHA!B29)&amp;"♦"&amp;T(OSHA!G29)&amp;"♦"&amp;T(OSHA!H29),"")</f>
        <v/>
      </c>
      <c r="Q30" s="15" t="str">
        <f>IFERROR(INDEX($L$5:$L$657,MATCH(ROWS($Q$5:Q30),$K$5:$K$657,0)),"")</f>
        <v/>
      </c>
    </row>
    <row r="31" spans="1:17" s="15" customFormat="1">
      <c r="A31" s="14" t="str">
        <f t="shared" si="6"/>
        <v/>
      </c>
      <c r="B31" s="14" t="str">
        <f t="shared" si="4"/>
        <v/>
      </c>
      <c r="C31" s="14" t="str">
        <f t="shared" si="0"/>
        <v/>
      </c>
      <c r="D31" s="14" t="str">
        <f t="shared" si="5"/>
        <v/>
      </c>
      <c r="E31" s="14" t="str">
        <f t="shared" si="1"/>
        <v/>
      </c>
      <c r="F31" s="232"/>
      <c r="G31" s="14"/>
      <c r="H31" s="233" t="str">
        <f t="shared" ca="1" si="2"/>
        <v/>
      </c>
      <c r="I31" s="14" t="str">
        <f t="shared" ca="1" si="3"/>
        <v/>
      </c>
      <c r="J31" s="14"/>
      <c r="K31" s="15" t="str">
        <f>IF(EQA!F4="Not Comply",MAX($K$4:K30)+1,"")</f>
        <v/>
      </c>
      <c r="L31" s="15" t="str">
        <f>IF(EQA!F4="Not Comply",T(EQA!K4)&amp;"♦"&amp;T(EQA!B4)&amp;"♦"&amp;T(EQA!G4)&amp;"♦"&amp;T(EQA!H4),"")</f>
        <v/>
      </c>
      <c r="Q31" s="15" t="str">
        <f>IFERROR(INDEX($L$5:$L$657,MATCH(ROWS($Q$5:Q31),$K$5:$K$657,0)),"")</f>
        <v/>
      </c>
    </row>
    <row r="32" spans="1:17" s="15" customFormat="1">
      <c r="A32" s="14" t="str">
        <f t="shared" si="6"/>
        <v/>
      </c>
      <c r="B32" s="14" t="str">
        <f t="shared" si="4"/>
        <v/>
      </c>
      <c r="C32" s="14" t="str">
        <f t="shared" si="0"/>
        <v/>
      </c>
      <c r="D32" s="14" t="str">
        <f t="shared" si="5"/>
        <v/>
      </c>
      <c r="E32" s="14" t="str">
        <f t="shared" si="1"/>
        <v/>
      </c>
      <c r="F32" s="232"/>
      <c r="G32" s="14"/>
      <c r="H32" s="233" t="str">
        <f t="shared" ca="1" si="2"/>
        <v/>
      </c>
      <c r="I32" s="14" t="str">
        <f t="shared" ca="1" si="3"/>
        <v/>
      </c>
      <c r="J32" s="14"/>
      <c r="K32" s="15" t="str">
        <f>IF(EQA!F5="Not Comply",MAX($K$4:K31)+1,"")</f>
        <v/>
      </c>
      <c r="L32" s="15" t="str">
        <f>IF(EQA!F5="Not Comply",T(EQA!K5)&amp;"♦"&amp;T(EQA!B5)&amp;"♦"&amp;T(EQA!G5)&amp;"♦"&amp;T(EQA!H5),"")</f>
        <v/>
      </c>
      <c r="Q32" s="15" t="str">
        <f>IFERROR(INDEX($L$5:$L$657,MATCH(ROWS($Q$5:Q32),$K$5:$K$657,0)),"")</f>
        <v/>
      </c>
    </row>
    <row r="33" spans="1:17" s="15" customFormat="1">
      <c r="A33" s="14" t="str">
        <f t="shared" si="6"/>
        <v/>
      </c>
      <c r="B33" s="14" t="str">
        <f t="shared" si="4"/>
        <v/>
      </c>
      <c r="C33" s="14" t="str">
        <f t="shared" si="0"/>
        <v/>
      </c>
      <c r="D33" s="14" t="str">
        <f t="shared" si="5"/>
        <v/>
      </c>
      <c r="E33" s="14" t="str">
        <f t="shared" si="1"/>
        <v/>
      </c>
      <c r="F33" s="232"/>
      <c r="G33" s="14"/>
      <c r="H33" s="233" t="str">
        <f t="shared" ca="1" si="2"/>
        <v/>
      </c>
      <c r="I33" s="14" t="str">
        <f t="shared" ca="1" si="3"/>
        <v/>
      </c>
      <c r="J33" s="14"/>
      <c r="K33" s="15" t="str">
        <f>IF(EQA!F6="Not Comply",MAX($K$4:K32)+1,"")</f>
        <v/>
      </c>
      <c r="L33" s="15" t="str">
        <f>IF(EQA!F6="Not Comply",T(EQA!K6)&amp;"♦"&amp;T(EQA!B6)&amp;"♦"&amp;T(EQA!G6)&amp;"♦"&amp;T(EQA!H6),"")</f>
        <v/>
      </c>
      <c r="Q33" s="15" t="str">
        <f>IFERROR(INDEX($L$5:$L$657,MATCH(ROWS($Q$5:Q33),$K$5:$K$657,0)),"")</f>
        <v/>
      </c>
    </row>
    <row r="34" spans="1:17" s="15" customFormat="1">
      <c r="A34" s="14" t="str">
        <f t="shared" si="6"/>
        <v/>
      </c>
      <c r="B34" s="14" t="str">
        <f t="shared" si="4"/>
        <v/>
      </c>
      <c r="C34" s="14" t="str">
        <f t="shared" si="0"/>
        <v/>
      </c>
      <c r="D34" s="14" t="str">
        <f t="shared" si="5"/>
        <v/>
      </c>
      <c r="E34" s="14" t="str">
        <f t="shared" si="1"/>
        <v/>
      </c>
      <c r="F34" s="232"/>
      <c r="G34" s="14"/>
      <c r="H34" s="233" t="str">
        <f t="shared" ca="1" si="2"/>
        <v/>
      </c>
      <c r="I34" s="14" t="str">
        <f t="shared" ca="1" si="3"/>
        <v/>
      </c>
      <c r="J34" s="14"/>
      <c r="K34" s="15" t="str">
        <f>IF(EQA!F7="Not Comply",MAX($K$4:K33)+1,"")</f>
        <v/>
      </c>
      <c r="L34" s="15" t="str">
        <f>IF(EQA!F7="Not Comply",T(EQA!K7)&amp;"♦"&amp;T(EQA!B7)&amp;"♦"&amp;T(EQA!G7)&amp;"♦"&amp;T(EQA!H7),"")</f>
        <v/>
      </c>
      <c r="Q34" s="15" t="str">
        <f>IFERROR(INDEX($L$5:$L$657,MATCH(ROWS($Q$5:Q34),$K$5:$K$657,0)),"")</f>
        <v/>
      </c>
    </row>
    <row r="35" spans="1:17" s="15" customFormat="1">
      <c r="A35" s="14" t="str">
        <f t="shared" si="6"/>
        <v/>
      </c>
      <c r="B35" s="14" t="str">
        <f t="shared" si="4"/>
        <v/>
      </c>
      <c r="C35" s="14" t="str">
        <f t="shared" si="0"/>
        <v/>
      </c>
      <c r="D35" s="14" t="str">
        <f t="shared" si="5"/>
        <v/>
      </c>
      <c r="E35" s="14" t="str">
        <f t="shared" si="1"/>
        <v/>
      </c>
      <c r="F35" s="232"/>
      <c r="G35" s="14"/>
      <c r="H35" s="233" t="str">
        <f t="shared" ca="1" si="2"/>
        <v/>
      </c>
      <c r="I35" s="14" t="str">
        <f t="shared" ca="1" si="3"/>
        <v/>
      </c>
      <c r="J35" s="14"/>
      <c r="K35" s="15" t="str">
        <f>IF(EQA!F8="Not Comply",MAX($K$4:K34)+1,"")</f>
        <v/>
      </c>
      <c r="L35" s="15" t="str">
        <f>IF(EQA!F8="Not Comply",T(EQA!K8)&amp;"♦"&amp;T(EQA!B8)&amp;"♦"&amp;T(EQA!G8)&amp;"♦"&amp;T(EQA!H8),"")</f>
        <v/>
      </c>
      <c r="Q35" s="15" t="str">
        <f>IFERROR(INDEX($L$5:$L$657,MATCH(ROWS($Q$5:Q35),$K$5:$K$657,0)),"")</f>
        <v/>
      </c>
    </row>
    <row r="36" spans="1:17" s="15" customFormat="1">
      <c r="A36" s="14" t="str">
        <f t="shared" si="6"/>
        <v/>
      </c>
      <c r="B36" s="14" t="str">
        <f t="shared" si="4"/>
        <v/>
      </c>
      <c r="C36" s="14" t="str">
        <f t="shared" si="0"/>
        <v/>
      </c>
      <c r="D36" s="14" t="str">
        <f t="shared" si="5"/>
        <v/>
      </c>
      <c r="E36" s="14" t="str">
        <f t="shared" si="1"/>
        <v/>
      </c>
      <c r="F36" s="232"/>
      <c r="G36" s="14"/>
      <c r="H36" s="233" t="str">
        <f t="shared" ca="1" si="2"/>
        <v/>
      </c>
      <c r="I36" s="14" t="str">
        <f t="shared" ca="1" si="3"/>
        <v/>
      </c>
      <c r="J36" s="14"/>
      <c r="K36" s="15" t="str">
        <f>IF(EQA!F9="Not Comply",MAX($K$4:K35)+1,"")</f>
        <v/>
      </c>
      <c r="L36" s="15" t="str">
        <f>IF(EQA!F9="Not Comply",T(EQA!K9)&amp;"♦"&amp;T(EQA!B9)&amp;"♦"&amp;T(EQA!G9)&amp;"♦"&amp;T(EQA!H9),"")</f>
        <v/>
      </c>
      <c r="Q36" s="15" t="str">
        <f>IFERROR(INDEX($L$5:$L$657,MATCH(ROWS($Q$5:Q36),$K$5:$K$657,0)),"")</f>
        <v/>
      </c>
    </row>
    <row r="37" spans="1:17" s="15" customFormat="1">
      <c r="A37" s="14" t="str">
        <f t="shared" si="6"/>
        <v/>
      </c>
      <c r="B37" s="14" t="str">
        <f t="shared" si="4"/>
        <v/>
      </c>
      <c r="C37" s="14" t="str">
        <f t="shared" si="0"/>
        <v/>
      </c>
      <c r="D37" s="14" t="str">
        <f t="shared" si="5"/>
        <v/>
      </c>
      <c r="E37" s="14" t="str">
        <f t="shared" si="1"/>
        <v/>
      </c>
      <c r="F37" s="232"/>
      <c r="G37" s="14"/>
      <c r="H37" s="233" t="str">
        <f t="shared" ca="1" si="2"/>
        <v/>
      </c>
      <c r="I37" s="14" t="str">
        <f t="shared" ca="1" si="3"/>
        <v/>
      </c>
      <c r="J37" s="14"/>
      <c r="K37" s="15" t="str">
        <f>IF(EQA!F10="Not Comply",MAX($K$4:K36)+1,"")</f>
        <v/>
      </c>
      <c r="L37" s="15" t="str">
        <f>IF(EQA!F10="Not Comply",T(EQA!K10)&amp;"♦"&amp;T(EQA!B10)&amp;"♦"&amp;T(EQA!G10)&amp;"♦"&amp;T(EQA!H10),"")</f>
        <v/>
      </c>
      <c r="Q37" s="15" t="str">
        <f>IFERROR(INDEX($L$5:$L$657,MATCH(ROWS($Q$5:Q37),$K$5:$K$657,0)),"")</f>
        <v/>
      </c>
    </row>
    <row r="38" spans="1:17" s="15" customFormat="1">
      <c r="A38" s="14" t="str">
        <f t="shared" si="6"/>
        <v/>
      </c>
      <c r="B38" s="14" t="str">
        <f t="shared" si="4"/>
        <v/>
      </c>
      <c r="C38" s="14" t="str">
        <f t="shared" si="0"/>
        <v/>
      </c>
      <c r="D38" s="14" t="str">
        <f t="shared" si="5"/>
        <v/>
      </c>
      <c r="E38" s="14" t="str">
        <f t="shared" si="1"/>
        <v/>
      </c>
      <c r="F38" s="232"/>
      <c r="G38" s="14"/>
      <c r="H38" s="233" t="str">
        <f t="shared" ca="1" si="2"/>
        <v/>
      </c>
      <c r="I38" s="14" t="str">
        <f t="shared" ca="1" si="3"/>
        <v/>
      </c>
      <c r="J38" s="14"/>
      <c r="K38" s="15" t="str">
        <f>IF(EQA!F11="Not Comply",MAX($K$4:K37)+1,"")</f>
        <v/>
      </c>
      <c r="L38" s="15" t="str">
        <f>IF(EQA!F11="Not Comply",T(EQA!K11)&amp;"♦"&amp;T(EQA!B11)&amp;"♦"&amp;T(EQA!G11)&amp;"♦"&amp;T(EQA!H11),"")</f>
        <v/>
      </c>
      <c r="Q38" s="15" t="str">
        <f>IFERROR(INDEX($L$5:$L$657,MATCH(ROWS($Q$5:Q38),$K$5:$K$657,0)),"")</f>
        <v/>
      </c>
    </row>
    <row r="39" spans="1:17" s="15" customFormat="1">
      <c r="A39" s="14" t="str">
        <f t="shared" si="6"/>
        <v/>
      </c>
      <c r="B39" s="14" t="str">
        <f t="shared" si="4"/>
        <v/>
      </c>
      <c r="C39" s="14" t="str">
        <f t="shared" si="0"/>
        <v/>
      </c>
      <c r="D39" s="14" t="str">
        <f t="shared" si="5"/>
        <v/>
      </c>
      <c r="E39" s="14" t="str">
        <f t="shared" si="1"/>
        <v/>
      </c>
      <c r="F39" s="232"/>
      <c r="G39" s="14"/>
      <c r="H39" s="233" t="str">
        <f t="shared" ca="1" si="2"/>
        <v/>
      </c>
      <c r="I39" s="14" t="str">
        <f t="shared" ca="1" si="3"/>
        <v/>
      </c>
      <c r="J39" s="14"/>
      <c r="K39" s="15" t="str">
        <f>IF(EQA!F12="Not Comply",MAX($K$4:K38)+1,"")</f>
        <v/>
      </c>
      <c r="L39" s="15" t="str">
        <f>IF(EQA!F12="Not Comply",T(EQA!K12)&amp;"♦"&amp;T(EQA!B12)&amp;"♦"&amp;T(EQA!G12)&amp;"♦"&amp;T(EQA!H12),"")</f>
        <v/>
      </c>
      <c r="Q39" s="15" t="str">
        <f>IFERROR(INDEX($L$5:$L$657,MATCH(ROWS($Q$5:Q39),$K$5:$K$657,0)),"")</f>
        <v/>
      </c>
    </row>
    <row r="40" spans="1:17" s="15" customFormat="1">
      <c r="A40" s="14" t="str">
        <f t="shared" si="6"/>
        <v/>
      </c>
      <c r="B40" s="14" t="str">
        <f t="shared" si="4"/>
        <v/>
      </c>
      <c r="C40" s="14" t="str">
        <f t="shared" si="0"/>
        <v/>
      </c>
      <c r="D40" s="14" t="str">
        <f t="shared" si="5"/>
        <v/>
      </c>
      <c r="E40" s="14" t="str">
        <f t="shared" si="1"/>
        <v/>
      </c>
      <c r="F40" s="232"/>
      <c r="G40" s="14"/>
      <c r="H40" s="233" t="str">
        <f t="shared" ca="1" si="2"/>
        <v/>
      </c>
      <c r="I40" s="14" t="str">
        <f t="shared" ca="1" si="3"/>
        <v/>
      </c>
      <c r="J40" s="14"/>
      <c r="K40" s="15" t="str">
        <f>IF(EQA!F13="Not Comply",MAX($K$4:K39)+1,"")</f>
        <v/>
      </c>
      <c r="L40" s="15" t="str">
        <f>IF(EQA!F13="Not Comply",T(EQA!K13)&amp;"♦"&amp;T(EQA!B13)&amp;"♦"&amp;T(EQA!G13)&amp;"♦"&amp;T(EQA!H13),"")</f>
        <v/>
      </c>
      <c r="Q40" s="15" t="str">
        <f>IFERROR(INDEX($L$5:$L$657,MATCH(ROWS($Q$5:Q40),$K$5:$K$657,0)),"")</f>
        <v/>
      </c>
    </row>
    <row r="41" spans="1:17" s="15" customFormat="1">
      <c r="A41" s="14" t="str">
        <f t="shared" si="6"/>
        <v/>
      </c>
      <c r="B41" s="14" t="str">
        <f t="shared" si="4"/>
        <v/>
      </c>
      <c r="C41" s="14" t="str">
        <f t="shared" si="0"/>
        <v/>
      </c>
      <c r="D41" s="14" t="str">
        <f t="shared" si="5"/>
        <v/>
      </c>
      <c r="E41" s="14" t="str">
        <f t="shared" si="1"/>
        <v/>
      </c>
      <c r="F41" s="232"/>
      <c r="G41" s="14"/>
      <c r="H41" s="233" t="str">
        <f t="shared" ca="1" si="2"/>
        <v/>
      </c>
      <c r="I41" s="14" t="str">
        <f t="shared" ca="1" si="3"/>
        <v/>
      </c>
      <c r="J41" s="14"/>
      <c r="K41" s="15" t="str">
        <f>IF(EQA!F14="Not Comply",MAX($K$4:K40)+1,"")</f>
        <v/>
      </c>
      <c r="L41" s="15" t="str">
        <f>IF(EQA!F14="Not Comply",T(EQA!K14)&amp;"♦"&amp;T(EQA!B14)&amp;"♦"&amp;T(EQA!G14)&amp;"♦"&amp;T(EQA!H14),"")</f>
        <v/>
      </c>
      <c r="Q41" s="15" t="str">
        <f>IFERROR(INDEX($L$5:$L$657,MATCH(ROWS($Q$5:Q41),$K$5:$K$657,0)),"")</f>
        <v/>
      </c>
    </row>
    <row r="42" spans="1:17" s="15" customFormat="1">
      <c r="A42" s="14" t="str">
        <f t="shared" si="6"/>
        <v/>
      </c>
      <c r="B42" s="14" t="str">
        <f t="shared" si="4"/>
        <v/>
      </c>
      <c r="C42" s="14" t="str">
        <f t="shared" si="0"/>
        <v/>
      </c>
      <c r="D42" s="14" t="str">
        <f t="shared" si="5"/>
        <v/>
      </c>
      <c r="E42" s="14" t="str">
        <f t="shared" si="1"/>
        <v/>
      </c>
      <c r="F42" s="232"/>
      <c r="G42" s="14"/>
      <c r="H42" s="233" t="str">
        <f t="shared" ca="1" si="2"/>
        <v/>
      </c>
      <c r="I42" s="14" t="str">
        <f t="shared" ca="1" si="3"/>
        <v/>
      </c>
      <c r="J42" s="14"/>
      <c r="K42" s="15" t="str">
        <f>IF(EQA!F15="Not Comply",MAX($K$4:K41)+1,"")</f>
        <v/>
      </c>
      <c r="L42" s="15" t="str">
        <f>IF(EQA!F15="Not Comply",T(EQA!K15)&amp;"♦"&amp;T(EQA!B15)&amp;"♦"&amp;T(EQA!G15)&amp;"♦"&amp;T(EQA!H15),"")</f>
        <v/>
      </c>
      <c r="Q42" s="15" t="str">
        <f>IFERROR(INDEX($L$5:$L$657,MATCH(ROWS($Q$5:Q42),$K$5:$K$657,0)),"")</f>
        <v/>
      </c>
    </row>
    <row r="43" spans="1:17" s="15" customFormat="1">
      <c r="A43" s="14" t="str">
        <f t="shared" si="6"/>
        <v/>
      </c>
      <c r="B43" s="14" t="str">
        <f t="shared" si="4"/>
        <v/>
      </c>
      <c r="C43" s="14" t="str">
        <f t="shared" si="0"/>
        <v/>
      </c>
      <c r="D43" s="14" t="str">
        <f t="shared" si="5"/>
        <v/>
      </c>
      <c r="E43" s="14" t="str">
        <f t="shared" si="1"/>
        <v/>
      </c>
      <c r="F43" s="232"/>
      <c r="G43" s="14"/>
      <c r="H43" s="233" t="str">
        <f t="shared" ca="1" si="2"/>
        <v/>
      </c>
      <c r="I43" s="14" t="str">
        <f t="shared" ca="1" si="3"/>
        <v/>
      </c>
      <c r="J43" s="14"/>
      <c r="K43" s="15" t="str">
        <f>IF(EQA!F16="Not Comply",MAX($K$4:K42)+1,"")</f>
        <v/>
      </c>
      <c r="L43" s="15" t="str">
        <f>IF(EQA!F16="Not Comply",T(EQA!K16)&amp;"♦"&amp;T(EQA!B16)&amp;"♦"&amp;T(EQA!G16)&amp;"♦"&amp;T(EQA!H16),"")</f>
        <v/>
      </c>
      <c r="Q43" s="15" t="str">
        <f>IFERROR(INDEX($L$5:$L$657,MATCH(ROWS($Q$5:Q43),$K$5:$K$657,0)),"")</f>
        <v/>
      </c>
    </row>
    <row r="44" spans="1:17" s="15" customFormat="1">
      <c r="A44" s="14" t="str">
        <f t="shared" si="6"/>
        <v/>
      </c>
      <c r="B44" s="14" t="str">
        <f t="shared" si="4"/>
        <v/>
      </c>
      <c r="C44" s="14" t="str">
        <f t="shared" si="0"/>
        <v/>
      </c>
      <c r="D44" s="14" t="str">
        <f t="shared" si="5"/>
        <v/>
      </c>
      <c r="E44" s="14" t="str">
        <f t="shared" si="1"/>
        <v/>
      </c>
      <c r="F44" s="232"/>
      <c r="G44" s="14"/>
      <c r="H44" s="233" t="str">
        <f t="shared" ca="1" si="2"/>
        <v/>
      </c>
      <c r="I44" s="14" t="str">
        <f t="shared" ca="1" si="3"/>
        <v/>
      </c>
      <c r="J44" s="14"/>
      <c r="K44" s="15" t="str">
        <f>IF(EQA!F17="Not Comply",MAX($K$4:K43)+1,"")</f>
        <v/>
      </c>
      <c r="L44" s="15" t="str">
        <f>IF(EQA!F17="Not Comply",T(EQA!K17)&amp;"♦"&amp;T(EQA!B17)&amp;"♦"&amp;T(EQA!G17)&amp;"♦"&amp;T(EQA!H17),"")</f>
        <v/>
      </c>
      <c r="Q44" s="15" t="str">
        <f>IFERROR(INDEX($L$5:$L$657,MATCH(ROWS($Q$5:Q44),$K$5:$K$657,0)),"")</f>
        <v/>
      </c>
    </row>
    <row r="45" spans="1:17" s="15" customFormat="1">
      <c r="A45" s="14" t="str">
        <f t="shared" si="6"/>
        <v/>
      </c>
      <c r="B45" s="14" t="str">
        <f t="shared" si="4"/>
        <v/>
      </c>
      <c r="C45" s="14" t="str">
        <f t="shared" si="0"/>
        <v/>
      </c>
      <c r="D45" s="14" t="str">
        <f t="shared" si="5"/>
        <v/>
      </c>
      <c r="E45" s="14" t="str">
        <f t="shared" si="1"/>
        <v/>
      </c>
      <c r="F45" s="232"/>
      <c r="G45" s="14"/>
      <c r="H45" s="233" t="str">
        <f t="shared" ca="1" si="2"/>
        <v/>
      </c>
      <c r="I45" s="14" t="str">
        <f t="shared" ca="1" si="3"/>
        <v/>
      </c>
      <c r="J45" s="14"/>
      <c r="K45" s="15" t="str">
        <f>IF(EQA!F18="Not Comply",MAX($K$4:K44)+1,"")</f>
        <v/>
      </c>
      <c r="L45" s="15" t="str">
        <f>IF(EQA!F18="Not Comply",T(EQA!K18)&amp;"♦"&amp;T(EQA!B18)&amp;"♦"&amp;T(EQA!G18)&amp;"♦"&amp;T(EQA!H18),"")</f>
        <v/>
      </c>
      <c r="Q45" s="15" t="str">
        <f>IFERROR(INDEX($L$5:$L$657,MATCH(ROWS($Q$5:Q45),$K$5:$K$657,0)),"")</f>
        <v/>
      </c>
    </row>
    <row r="46" spans="1:17" s="15" customFormat="1">
      <c r="A46" s="14" t="str">
        <f t="shared" si="6"/>
        <v/>
      </c>
      <c r="B46" s="14" t="str">
        <f t="shared" si="4"/>
        <v/>
      </c>
      <c r="C46" s="14" t="str">
        <f t="shared" si="0"/>
        <v/>
      </c>
      <c r="D46" s="14" t="str">
        <f t="shared" si="5"/>
        <v/>
      </c>
      <c r="E46" s="14" t="str">
        <f t="shared" si="1"/>
        <v/>
      </c>
      <c r="F46" s="232"/>
      <c r="G46" s="14"/>
      <c r="H46" s="233" t="str">
        <f t="shared" ca="1" si="2"/>
        <v/>
      </c>
      <c r="I46" s="14" t="str">
        <f t="shared" ca="1" si="3"/>
        <v/>
      </c>
      <c r="J46" s="14"/>
      <c r="K46" s="15" t="str">
        <f>IF(EQA!F19="Not Comply",MAX($K$4:K45)+1,"")</f>
        <v/>
      </c>
      <c r="L46" s="15" t="str">
        <f>IF(EQA!F19="Not Comply",T(EQA!K19)&amp;"♦"&amp;T(EQA!B19)&amp;"♦"&amp;T(EQA!G19)&amp;"♦"&amp;T(EQA!H19),"")</f>
        <v/>
      </c>
      <c r="Q46" s="15" t="str">
        <f>IFERROR(INDEX($L$5:$L$657,MATCH(ROWS($Q$5:Q46),$K$5:$K$657,0)),"")</f>
        <v/>
      </c>
    </row>
    <row r="47" spans="1:17" s="15" customFormat="1">
      <c r="A47" s="14" t="str">
        <f t="shared" si="6"/>
        <v/>
      </c>
      <c r="B47" s="14" t="str">
        <f t="shared" si="4"/>
        <v/>
      </c>
      <c r="C47" s="14" t="str">
        <f t="shared" si="0"/>
        <v/>
      </c>
      <c r="D47" s="14" t="str">
        <f t="shared" si="5"/>
        <v/>
      </c>
      <c r="E47" s="14" t="str">
        <f t="shared" si="1"/>
        <v/>
      </c>
      <c r="F47" s="232"/>
      <c r="G47" s="14"/>
      <c r="H47" s="233" t="str">
        <f t="shared" ca="1" si="2"/>
        <v/>
      </c>
      <c r="I47" s="14" t="str">
        <f t="shared" ca="1" si="3"/>
        <v/>
      </c>
      <c r="J47" s="14"/>
      <c r="K47" s="15" t="str">
        <f>IF(EQA!F20="Not Comply",MAX($K$4:K46)+1,"")</f>
        <v/>
      </c>
      <c r="L47" s="15" t="str">
        <f>IF(EQA!F20="Not Comply",T(EQA!K20)&amp;"♦"&amp;T(EQA!B20)&amp;"♦"&amp;T(EQA!G20)&amp;"♦"&amp;T(EQA!H20),"")</f>
        <v/>
      </c>
      <c r="Q47" s="15" t="str">
        <f>IFERROR(INDEX($L$5:$L$657,MATCH(ROWS($Q$5:Q47),$K$5:$K$657,0)),"")</f>
        <v/>
      </c>
    </row>
    <row r="48" spans="1:17" s="15" customFormat="1">
      <c r="A48" s="14" t="str">
        <f t="shared" si="6"/>
        <v/>
      </c>
      <c r="B48" s="14" t="str">
        <f t="shared" si="4"/>
        <v/>
      </c>
      <c r="C48" s="14" t="str">
        <f t="shared" si="0"/>
        <v/>
      </c>
      <c r="D48" s="14" t="str">
        <f t="shared" si="5"/>
        <v/>
      </c>
      <c r="E48" s="14" t="str">
        <f t="shared" si="1"/>
        <v/>
      </c>
      <c r="F48" s="232"/>
      <c r="G48" s="14"/>
      <c r="H48" s="233" t="str">
        <f t="shared" ca="1" si="2"/>
        <v/>
      </c>
      <c r="I48" s="14" t="str">
        <f t="shared" ca="1" si="3"/>
        <v/>
      </c>
      <c r="J48" s="14"/>
      <c r="K48" s="15" t="str">
        <f>IF(EQA!F21="Not Comply",MAX($K$4:K47)+1,"")</f>
        <v/>
      </c>
      <c r="L48" s="15" t="str">
        <f>IF(EQA!F21="Not Comply",T(EQA!K21)&amp;"♦"&amp;T(EQA!B21)&amp;"♦"&amp;T(EQA!G21)&amp;"♦"&amp;T(EQA!H21),"")</f>
        <v/>
      </c>
      <c r="Q48" s="15" t="str">
        <f>IFERROR(INDEX($L$5:$L$657,MATCH(ROWS($Q$5:Q48),$K$5:$K$657,0)),"")</f>
        <v/>
      </c>
    </row>
    <row r="49" spans="1:17" s="15" customFormat="1">
      <c r="A49" s="14" t="str">
        <f t="shared" si="6"/>
        <v/>
      </c>
      <c r="B49" s="14" t="str">
        <f t="shared" si="4"/>
        <v/>
      </c>
      <c r="C49" s="14" t="str">
        <f t="shared" si="0"/>
        <v/>
      </c>
      <c r="D49" s="14" t="str">
        <f t="shared" si="5"/>
        <v/>
      </c>
      <c r="E49" s="14" t="str">
        <f t="shared" si="1"/>
        <v/>
      </c>
      <c r="F49" s="232"/>
      <c r="G49" s="14"/>
      <c r="H49" s="233" t="str">
        <f t="shared" ca="1" si="2"/>
        <v/>
      </c>
      <c r="I49" s="14" t="str">
        <f t="shared" ca="1" si="3"/>
        <v/>
      </c>
      <c r="J49" s="14"/>
      <c r="K49" s="15" t="str">
        <f>IF(EQA!F22="Not Comply",MAX($K$4:K48)+1,"")</f>
        <v/>
      </c>
      <c r="L49" s="15" t="str">
        <f>IF(EQA!F22="Not Comply",T(EQA!K22)&amp;"♦"&amp;T(EQA!B22)&amp;"♦"&amp;T(EQA!G22)&amp;"♦"&amp;T(EQA!H22),"")</f>
        <v/>
      </c>
      <c r="Q49" s="15" t="str">
        <f>IFERROR(INDEX($L$5:$L$657,MATCH(ROWS($Q$5:Q49),$K$5:$K$657,0)),"")</f>
        <v/>
      </c>
    </row>
    <row r="50" spans="1:17" s="15" customFormat="1">
      <c r="A50" s="14" t="str">
        <f t="shared" si="6"/>
        <v/>
      </c>
      <c r="B50" s="14" t="str">
        <f t="shared" si="4"/>
        <v/>
      </c>
      <c r="C50" s="14" t="str">
        <f t="shared" si="0"/>
        <v/>
      </c>
      <c r="D50" s="14" t="str">
        <f t="shared" si="5"/>
        <v/>
      </c>
      <c r="E50" s="14" t="str">
        <f t="shared" si="1"/>
        <v/>
      </c>
      <c r="F50" s="232"/>
      <c r="G50" s="14"/>
      <c r="H50" s="233" t="str">
        <f t="shared" ca="1" si="2"/>
        <v/>
      </c>
      <c r="I50" s="14" t="str">
        <f t="shared" ca="1" si="3"/>
        <v/>
      </c>
      <c r="J50" s="14"/>
      <c r="K50" s="15" t="str">
        <f>IF(EQA!F23="Not Comply",MAX($K$4:K49)+1,"")</f>
        <v/>
      </c>
      <c r="L50" s="15" t="str">
        <f>IF(EQA!F23="Not Comply",T(EQA!K23)&amp;"♦"&amp;T(EQA!B23)&amp;"♦"&amp;T(EQA!G23)&amp;"♦"&amp;T(EQA!H23),"")</f>
        <v/>
      </c>
      <c r="Q50" s="15" t="str">
        <f>IFERROR(INDEX($L$5:$L$657,MATCH(ROWS($Q$5:Q50),$K$5:$K$657,0)),"")</f>
        <v/>
      </c>
    </row>
    <row r="51" spans="1:17" s="15" customFormat="1">
      <c r="A51" s="14" t="str">
        <f t="shared" si="6"/>
        <v/>
      </c>
      <c r="B51" s="14" t="str">
        <f t="shared" si="4"/>
        <v/>
      </c>
      <c r="C51" s="14" t="str">
        <f t="shared" si="0"/>
        <v/>
      </c>
      <c r="D51" s="14" t="str">
        <f t="shared" si="5"/>
        <v/>
      </c>
      <c r="E51" s="14" t="str">
        <f t="shared" si="1"/>
        <v/>
      </c>
      <c r="F51" s="232"/>
      <c r="G51" s="14"/>
      <c r="H51" s="233" t="str">
        <f t="shared" ca="1" si="2"/>
        <v/>
      </c>
      <c r="I51" s="14" t="str">
        <f t="shared" ca="1" si="3"/>
        <v/>
      </c>
      <c r="J51" s="14"/>
      <c r="K51" s="15" t="str">
        <f>IF(EQA!F24="Not Comply",MAX($K$4:K50)+1,"")</f>
        <v/>
      </c>
      <c r="L51" s="15" t="str">
        <f>IF(EQA!F24="Not Comply",T(EQA!K24)&amp;"♦"&amp;T(EQA!B24)&amp;"♦"&amp;T(EQA!G24)&amp;"♦"&amp;T(EQA!H24),"")</f>
        <v/>
      </c>
      <c r="Q51" s="15" t="str">
        <f>IFERROR(INDEX($L$5:$L$657,MATCH(ROWS($Q$5:Q51),$K$5:$K$657,0)),"")</f>
        <v/>
      </c>
    </row>
    <row r="52" spans="1:17" s="15" customFormat="1">
      <c r="A52" s="14" t="str">
        <f t="shared" si="6"/>
        <v/>
      </c>
      <c r="B52" s="14" t="str">
        <f t="shared" si="4"/>
        <v/>
      </c>
      <c r="C52" s="14" t="str">
        <f t="shared" si="0"/>
        <v/>
      </c>
      <c r="D52" s="14" t="str">
        <f t="shared" si="5"/>
        <v/>
      </c>
      <c r="E52" s="14" t="str">
        <f t="shared" si="1"/>
        <v/>
      </c>
      <c r="F52" s="232"/>
      <c r="G52" s="14"/>
      <c r="H52" s="233" t="str">
        <f t="shared" ca="1" si="2"/>
        <v/>
      </c>
      <c r="I52" s="14" t="str">
        <f t="shared" ca="1" si="3"/>
        <v/>
      </c>
      <c r="J52" s="14"/>
      <c r="K52" s="15" t="str">
        <f>IF(EQA!F25="Not Comply",MAX($K$4:K51)+1,"")</f>
        <v/>
      </c>
      <c r="L52" s="15" t="str">
        <f>IF(EQA!F25="Not Comply",T(EQA!K25)&amp;"♦"&amp;T(EQA!B25)&amp;"♦"&amp;T(EQA!G25)&amp;"♦"&amp;T(EQA!H25),"")</f>
        <v/>
      </c>
      <c r="Q52" s="15" t="str">
        <f>IFERROR(INDEX($L$5:$L$657,MATCH(ROWS($Q$5:Q52),$K$5:$K$657,0)),"")</f>
        <v/>
      </c>
    </row>
    <row r="53" spans="1:17" s="15" customFormat="1">
      <c r="A53" s="14" t="str">
        <f t="shared" si="6"/>
        <v/>
      </c>
      <c r="B53" s="14" t="str">
        <f t="shared" si="4"/>
        <v/>
      </c>
      <c r="C53" s="14" t="str">
        <f t="shared" si="0"/>
        <v/>
      </c>
      <c r="D53" s="14" t="str">
        <f t="shared" si="5"/>
        <v/>
      </c>
      <c r="E53" s="14" t="str">
        <f t="shared" si="1"/>
        <v/>
      </c>
      <c r="F53" s="232"/>
      <c r="G53" s="14"/>
      <c r="H53" s="233" t="str">
        <f t="shared" ca="1" si="2"/>
        <v/>
      </c>
      <c r="I53" s="14" t="str">
        <f t="shared" ca="1" si="3"/>
        <v/>
      </c>
      <c r="J53" s="14"/>
      <c r="K53" s="15" t="str">
        <f>IF(EQA!F26="Not Comply",MAX($K$4:K52)+1,"")</f>
        <v/>
      </c>
      <c r="L53" s="15" t="str">
        <f>IF(EQA!F26="Not Comply",T(EQA!K26)&amp;"♦"&amp;T(EQA!B26)&amp;"♦"&amp;T(EQA!G26)&amp;"♦"&amp;T(EQA!H26),"")</f>
        <v/>
      </c>
      <c r="Q53" s="15" t="str">
        <f>IFERROR(INDEX($L$5:$L$657,MATCH(ROWS($Q$5:Q53),$K$5:$K$657,0)),"")</f>
        <v/>
      </c>
    </row>
    <row r="54" spans="1:17" s="15" customFormat="1">
      <c r="A54" s="14" t="str">
        <f t="shared" si="6"/>
        <v/>
      </c>
      <c r="B54" s="14" t="str">
        <f t="shared" si="4"/>
        <v/>
      </c>
      <c r="C54" s="14" t="str">
        <f t="shared" si="0"/>
        <v/>
      </c>
      <c r="D54" s="14" t="str">
        <f t="shared" si="5"/>
        <v/>
      </c>
      <c r="E54" s="14" t="str">
        <f t="shared" si="1"/>
        <v/>
      </c>
      <c r="F54" s="232"/>
      <c r="G54" s="14"/>
      <c r="H54" s="233" t="str">
        <f t="shared" ca="1" si="2"/>
        <v/>
      </c>
      <c r="I54" s="14" t="str">
        <f t="shared" ca="1" si="3"/>
        <v/>
      </c>
      <c r="J54" s="14"/>
      <c r="K54" s="15" t="str">
        <f>IF(EQA!F27="Not Comply",MAX($K$4:K53)+1,"")</f>
        <v/>
      </c>
      <c r="L54" s="15" t="str">
        <f>IF(EQA!F27="Not Comply",T(EQA!K27)&amp;"♦"&amp;T(EQA!B27)&amp;"♦"&amp;T(EQA!G27)&amp;"♦"&amp;T(EQA!H27),"")</f>
        <v/>
      </c>
      <c r="Q54" s="15" t="str">
        <f>IFERROR(INDEX($L$5:$L$657,MATCH(ROWS($Q$5:Q54),$K$5:$K$657,0)),"")</f>
        <v/>
      </c>
    </row>
    <row r="55" spans="1:17" s="15" customFormat="1">
      <c r="A55" s="14" t="str">
        <f t="shared" si="6"/>
        <v/>
      </c>
      <c r="B55" s="14" t="str">
        <f t="shared" si="4"/>
        <v/>
      </c>
      <c r="C55" s="14" t="str">
        <f t="shared" si="0"/>
        <v/>
      </c>
      <c r="D55" s="14" t="str">
        <f t="shared" si="5"/>
        <v/>
      </c>
      <c r="E55" s="14" t="str">
        <f t="shared" si="1"/>
        <v/>
      </c>
      <c r="F55" s="232"/>
      <c r="G55" s="14"/>
      <c r="H55" s="233" t="str">
        <f t="shared" ca="1" si="2"/>
        <v/>
      </c>
      <c r="I55" s="14" t="str">
        <f t="shared" ca="1" si="3"/>
        <v/>
      </c>
      <c r="J55" s="14"/>
      <c r="K55" s="15" t="str">
        <f>IF(EQA!F28="Not Comply",MAX($K$4:K54)+1,"")</f>
        <v/>
      </c>
      <c r="L55" s="15" t="str">
        <f>IF(EQA!F28="Not Comply",T(EQA!K28)&amp;"♦"&amp;T(EQA!B28)&amp;"♦"&amp;T(EQA!G28)&amp;"♦"&amp;T(EQA!H28),"")</f>
        <v/>
      </c>
      <c r="Q55" s="15" t="str">
        <f>IFERROR(INDEX($L$5:$L$657,MATCH(ROWS($Q$5:Q55),$K$5:$K$657,0)),"")</f>
        <v/>
      </c>
    </row>
    <row r="56" spans="1:17" s="15" customFormat="1">
      <c r="A56" s="14" t="str">
        <f t="shared" si="6"/>
        <v/>
      </c>
      <c r="B56" s="14" t="str">
        <f t="shared" si="4"/>
        <v/>
      </c>
      <c r="C56" s="14" t="str">
        <f t="shared" si="0"/>
        <v/>
      </c>
      <c r="D56" s="14" t="str">
        <f t="shared" si="5"/>
        <v/>
      </c>
      <c r="E56" s="14" t="str">
        <f t="shared" si="1"/>
        <v/>
      </c>
      <c r="F56" s="232"/>
      <c r="G56" s="14"/>
      <c r="H56" s="233" t="str">
        <f t="shared" ca="1" si="2"/>
        <v/>
      </c>
      <c r="I56" s="14" t="str">
        <f t="shared" ca="1" si="3"/>
        <v/>
      </c>
      <c r="J56" s="14"/>
      <c r="K56" s="15" t="str">
        <f>IF(EQA!F29="Not Comply",MAX($K$4:K55)+1,"")</f>
        <v/>
      </c>
      <c r="L56" s="15" t="str">
        <f>IF(EQA!F29="Not Comply",T(EQA!K29)&amp;"♦"&amp;T(EQA!B29)&amp;"♦"&amp;T(EQA!G29)&amp;"♦"&amp;T(EQA!H29),"")</f>
        <v/>
      </c>
      <c r="Q56" s="15" t="str">
        <f>IFERROR(INDEX($L$5:$L$657,MATCH(ROWS($Q$5:Q56),$K$5:$K$657,0)),"")</f>
        <v/>
      </c>
    </row>
    <row r="57" spans="1:17" s="15" customFormat="1">
      <c r="A57" s="14" t="str">
        <f t="shared" si="6"/>
        <v/>
      </c>
      <c r="B57" s="14" t="str">
        <f t="shared" si="4"/>
        <v/>
      </c>
      <c r="C57" s="14" t="str">
        <f t="shared" si="0"/>
        <v/>
      </c>
      <c r="D57" s="14" t="str">
        <f t="shared" si="5"/>
        <v/>
      </c>
      <c r="E57" s="14" t="str">
        <f t="shared" si="1"/>
        <v/>
      </c>
      <c r="F57" s="232"/>
      <c r="G57" s="14"/>
      <c r="H57" s="233" t="str">
        <f t="shared" ca="1" si="2"/>
        <v/>
      </c>
      <c r="I57" s="14" t="str">
        <f t="shared" ca="1" si="3"/>
        <v/>
      </c>
      <c r="J57" s="14"/>
      <c r="K57" s="15" t="str">
        <f>IF(EQA!F30="Not Comply",MAX($K$4:K56)+1,"")</f>
        <v/>
      </c>
      <c r="L57" s="15" t="str">
        <f>IF(EQA!F30="Not Comply",T(EQA!K30)&amp;"♦"&amp;T(EQA!B30)&amp;"♦"&amp;T(EQA!G30)&amp;"♦"&amp;T(EQA!H30),"")</f>
        <v/>
      </c>
      <c r="Q57" s="15" t="str">
        <f>IFERROR(INDEX($L$5:$L$657,MATCH(ROWS($Q$5:Q57),$K$5:$K$657,0)),"")</f>
        <v/>
      </c>
    </row>
    <row r="58" spans="1:17" s="15" customFormat="1">
      <c r="A58" s="14" t="str">
        <f t="shared" si="6"/>
        <v/>
      </c>
      <c r="B58" s="14" t="str">
        <f t="shared" si="4"/>
        <v/>
      </c>
      <c r="C58" s="14" t="str">
        <f t="shared" si="0"/>
        <v/>
      </c>
      <c r="D58" s="14" t="str">
        <f t="shared" si="5"/>
        <v/>
      </c>
      <c r="E58" s="14" t="str">
        <f t="shared" si="1"/>
        <v/>
      </c>
      <c r="F58" s="232"/>
      <c r="G58" s="14"/>
      <c r="H58" s="233" t="str">
        <f t="shared" ca="1" si="2"/>
        <v/>
      </c>
      <c r="I58" s="14" t="str">
        <f t="shared" ca="1" si="3"/>
        <v/>
      </c>
      <c r="J58" s="14"/>
      <c r="K58" s="15" t="str">
        <f>IF(EQA!F31="Not Comply",MAX($K$4:K57)+1,"")</f>
        <v/>
      </c>
      <c r="L58" s="15" t="str">
        <f>IF(EQA!F31="Not Comply",T(EQA!K31)&amp;"♦"&amp;T(EQA!B31)&amp;"♦"&amp;T(EQA!G31)&amp;"♦"&amp;T(EQA!H31),"")</f>
        <v/>
      </c>
      <c r="Q58" s="15" t="str">
        <f>IFERROR(INDEX($L$5:$L$657,MATCH(ROWS($Q$5:Q58),$K$5:$K$657,0)),"")</f>
        <v/>
      </c>
    </row>
    <row r="59" spans="1:17" s="15" customFormat="1">
      <c r="A59" s="14" t="str">
        <f t="shared" si="6"/>
        <v/>
      </c>
      <c r="B59" s="14" t="str">
        <f t="shared" si="4"/>
        <v/>
      </c>
      <c r="C59" s="14" t="str">
        <f t="shared" si="0"/>
        <v/>
      </c>
      <c r="D59" s="14" t="str">
        <f t="shared" si="5"/>
        <v/>
      </c>
      <c r="E59" s="14" t="str">
        <f t="shared" si="1"/>
        <v/>
      </c>
      <c r="F59" s="232"/>
      <c r="G59" s="14"/>
      <c r="H59" s="233" t="str">
        <f t="shared" ca="1" si="2"/>
        <v/>
      </c>
      <c r="I59" s="14" t="str">
        <f t="shared" ca="1" si="3"/>
        <v/>
      </c>
      <c r="J59" s="14"/>
      <c r="K59" s="15" t="str">
        <f>IF(WSIA!F4="Not Comply",MAX($K$4:K58)+1,"")</f>
        <v/>
      </c>
      <c r="L59" s="15" t="str">
        <f>IF(WSIA!F4="Not Comply",T(WSIA!K4)&amp;"♦"&amp;T(WSIA!B4)&amp;"♦"&amp;T(WSIA!G4)&amp;"♦"&amp;T(WSIA!H4),"")</f>
        <v/>
      </c>
      <c r="Q59" s="15" t="str">
        <f>IFERROR(INDEX($L$5:$L$657,MATCH(ROWS($Q$5:Q59),$K$5:$K$657,0)),"")</f>
        <v/>
      </c>
    </row>
    <row r="60" spans="1:17" s="15" customFormat="1">
      <c r="A60" s="14" t="str">
        <f t="shared" si="6"/>
        <v/>
      </c>
      <c r="B60" s="14" t="str">
        <f t="shared" si="4"/>
        <v/>
      </c>
      <c r="C60" s="14" t="str">
        <f t="shared" si="0"/>
        <v/>
      </c>
      <c r="D60" s="14" t="str">
        <f t="shared" si="5"/>
        <v/>
      </c>
      <c r="E60" s="14" t="str">
        <f t="shared" si="1"/>
        <v/>
      </c>
      <c r="F60" s="232"/>
      <c r="G60" s="14"/>
      <c r="H60" s="233" t="str">
        <f t="shared" ca="1" si="2"/>
        <v/>
      </c>
      <c r="I60" s="14" t="str">
        <f t="shared" ca="1" si="3"/>
        <v/>
      </c>
      <c r="J60" s="14"/>
      <c r="K60" s="15" t="str">
        <f>IF(WSIA!F5="Not Comply",MAX($K$4:K59)+1,"")</f>
        <v/>
      </c>
      <c r="L60" s="15" t="str">
        <f>IF(WSIA!F5="Not Comply",T(WSIA!K5)&amp;"♦"&amp;T(WSIA!B5)&amp;"♦"&amp;T(WSIA!G5)&amp;"♦"&amp;T(WSIA!H5),"")</f>
        <v/>
      </c>
      <c r="Q60" s="15" t="str">
        <f>IFERROR(INDEX($L$5:$L$657,MATCH(ROWS($Q$5:Q60),$K$5:$K$657,0)),"")</f>
        <v/>
      </c>
    </row>
    <row r="61" spans="1:17" s="15" customFormat="1">
      <c r="A61" s="14" t="str">
        <f t="shared" si="6"/>
        <v/>
      </c>
      <c r="B61" s="14" t="str">
        <f t="shared" si="4"/>
        <v/>
      </c>
      <c r="C61" s="14" t="str">
        <f t="shared" si="0"/>
        <v/>
      </c>
      <c r="D61" s="14" t="str">
        <f t="shared" si="5"/>
        <v/>
      </c>
      <c r="E61" s="14" t="str">
        <f t="shared" si="1"/>
        <v/>
      </c>
      <c r="F61" s="232"/>
      <c r="G61" s="14"/>
      <c r="H61" s="233" t="str">
        <f t="shared" ca="1" si="2"/>
        <v/>
      </c>
      <c r="I61" s="14" t="str">
        <f t="shared" ca="1" si="3"/>
        <v/>
      </c>
      <c r="J61" s="14"/>
      <c r="K61" s="15" t="str">
        <f>IF(WSIA!F6="Not Comply",MAX($K$4:K60)+1,"")</f>
        <v/>
      </c>
      <c r="L61" s="15" t="str">
        <f>IF(WSIA!F6="Not Comply",T(WSIA!K6)&amp;"♦"&amp;T(WSIA!B6)&amp;"♦"&amp;T(WSIA!G6)&amp;"♦"&amp;T(WSIA!H6),"")</f>
        <v/>
      </c>
      <c r="Q61" s="15" t="str">
        <f>IFERROR(INDEX($L$5:$L$657,MATCH(ROWS($Q$5:Q61),$K$5:$K$657,0)),"")</f>
        <v/>
      </c>
    </row>
    <row r="62" spans="1:17" s="15" customFormat="1">
      <c r="A62" s="14" t="str">
        <f t="shared" si="6"/>
        <v/>
      </c>
      <c r="B62" s="14" t="str">
        <f t="shared" si="4"/>
        <v/>
      </c>
      <c r="C62" s="14" t="str">
        <f t="shared" si="0"/>
        <v/>
      </c>
      <c r="D62" s="14" t="str">
        <f t="shared" si="5"/>
        <v/>
      </c>
      <c r="E62" s="14" t="str">
        <f t="shared" si="1"/>
        <v/>
      </c>
      <c r="F62" s="232"/>
      <c r="G62" s="14"/>
      <c r="H62" s="233" t="str">
        <f t="shared" ca="1" si="2"/>
        <v/>
      </c>
      <c r="I62" s="14" t="str">
        <f t="shared" ca="1" si="3"/>
        <v/>
      </c>
      <c r="J62" s="14"/>
      <c r="K62" s="15" t="str">
        <f>IF(WSIA!F7="Not Comply",MAX($K$4:K61)+1,"")</f>
        <v/>
      </c>
      <c r="L62" s="15" t="str">
        <f>IF(WSIA!F7="Not Comply",T(WSIA!K7)&amp;"♦"&amp;T(WSIA!B7)&amp;"♦"&amp;T(WSIA!G7)&amp;"♦"&amp;T(WSIA!H7),"")</f>
        <v/>
      </c>
      <c r="Q62" s="15" t="str">
        <f>IFERROR(INDEX($L$5:$L$657,MATCH(ROWS($Q$5:Q62),$K$5:$K$657,0)),"")</f>
        <v/>
      </c>
    </row>
    <row r="63" spans="1:17" s="15" customFormat="1">
      <c r="A63" s="14" t="str">
        <f t="shared" si="6"/>
        <v/>
      </c>
      <c r="B63" s="14" t="str">
        <f t="shared" si="4"/>
        <v/>
      </c>
      <c r="C63" s="14" t="str">
        <f t="shared" si="0"/>
        <v/>
      </c>
      <c r="D63" s="14" t="str">
        <f t="shared" si="5"/>
        <v/>
      </c>
      <c r="E63" s="14" t="str">
        <f t="shared" si="1"/>
        <v/>
      </c>
      <c r="F63" s="232"/>
      <c r="G63" s="14"/>
      <c r="H63" s="233" t="str">
        <f t="shared" ca="1" si="2"/>
        <v/>
      </c>
      <c r="I63" s="14" t="str">
        <f t="shared" ca="1" si="3"/>
        <v/>
      </c>
      <c r="J63" s="14"/>
      <c r="K63" s="15" t="str">
        <f>IF(WSIA!F8="Not Comply",MAX($K$4:K62)+1,"")</f>
        <v/>
      </c>
      <c r="L63" s="15" t="str">
        <f>IF(WSIA!F8="Not Comply",T(WSIA!K8)&amp;"♦"&amp;T(WSIA!B8)&amp;"♦"&amp;T(WSIA!G8)&amp;"♦"&amp;T(WSIA!H8),"")</f>
        <v/>
      </c>
      <c r="Q63" s="15" t="str">
        <f>IFERROR(INDEX($L$5:$L$657,MATCH(ROWS($Q$5:Q63),$K$5:$K$657,0)),"")</f>
        <v/>
      </c>
    </row>
    <row r="64" spans="1:17" s="15" customFormat="1">
      <c r="A64" s="14" t="str">
        <f t="shared" si="6"/>
        <v/>
      </c>
      <c r="B64" s="14" t="str">
        <f t="shared" si="4"/>
        <v/>
      </c>
      <c r="C64" s="14" t="str">
        <f t="shared" si="0"/>
        <v/>
      </c>
      <c r="D64" s="14" t="str">
        <f t="shared" si="5"/>
        <v/>
      </c>
      <c r="E64" s="14" t="str">
        <f t="shared" si="1"/>
        <v/>
      </c>
      <c r="F64" s="232"/>
      <c r="G64" s="14"/>
      <c r="H64" s="233" t="str">
        <f t="shared" ca="1" si="2"/>
        <v/>
      </c>
      <c r="I64" s="14" t="str">
        <f t="shared" ca="1" si="3"/>
        <v/>
      </c>
      <c r="J64" s="14"/>
      <c r="K64" s="15" t="str">
        <f>IF(WSIA!F9="Not Comply",MAX($K$4:K63)+1,"")</f>
        <v/>
      </c>
      <c r="L64" s="15" t="str">
        <f>IF(WSIA!F9="Not Comply",T(WSIA!K9)&amp;"♦"&amp;T(WSIA!B9)&amp;"♦"&amp;T(WSIA!G9)&amp;"♦"&amp;T(WSIA!H9),"")</f>
        <v/>
      </c>
      <c r="Q64" s="15" t="str">
        <f>IFERROR(INDEX($L$5:$L$657,MATCH(ROWS($Q$5:Q64),$K$5:$K$657,0)),"")</f>
        <v/>
      </c>
    </row>
    <row r="65" spans="1:17" s="15" customFormat="1">
      <c r="A65" s="14" t="str">
        <f t="shared" si="6"/>
        <v/>
      </c>
      <c r="B65" s="14" t="str">
        <f t="shared" si="4"/>
        <v/>
      </c>
      <c r="C65" s="14" t="str">
        <f t="shared" si="0"/>
        <v/>
      </c>
      <c r="D65" s="14" t="str">
        <f t="shared" si="5"/>
        <v/>
      </c>
      <c r="E65" s="14" t="str">
        <f t="shared" si="1"/>
        <v/>
      </c>
      <c r="F65" s="232"/>
      <c r="G65" s="14"/>
      <c r="H65" s="233" t="str">
        <f t="shared" ca="1" si="2"/>
        <v/>
      </c>
      <c r="I65" s="14" t="str">
        <f t="shared" ca="1" si="3"/>
        <v/>
      </c>
      <c r="J65" s="14"/>
      <c r="K65" s="15" t="str">
        <f>IF(WSIA!F10="Not Comply",MAX($K$4:K64)+1,"")</f>
        <v/>
      </c>
      <c r="L65" s="15" t="str">
        <f>IF(WSIA!F10="Not Comply",T(WSIA!K10)&amp;"♦"&amp;T(WSIA!B10)&amp;"♦"&amp;T(WSIA!G10)&amp;"♦"&amp;T(WSIA!H10),"")</f>
        <v/>
      </c>
      <c r="Q65" s="15" t="str">
        <f>IFERROR(INDEX($L$5:$L$657,MATCH(ROWS($Q$5:Q65),$K$5:$K$657,0)),"")</f>
        <v/>
      </c>
    </row>
    <row r="66" spans="1:17" s="15" customFormat="1">
      <c r="A66" s="14" t="str">
        <f t="shared" si="6"/>
        <v/>
      </c>
      <c r="B66" s="14" t="str">
        <f t="shared" si="4"/>
        <v/>
      </c>
      <c r="C66" s="14" t="str">
        <f t="shared" si="0"/>
        <v/>
      </c>
      <c r="D66" s="14" t="str">
        <f t="shared" si="5"/>
        <v/>
      </c>
      <c r="E66" s="14" t="str">
        <f t="shared" si="1"/>
        <v/>
      </c>
      <c r="F66" s="232"/>
      <c r="G66" s="14"/>
      <c r="H66" s="233" t="str">
        <f t="shared" ca="1" si="2"/>
        <v/>
      </c>
      <c r="I66" s="14" t="str">
        <f t="shared" ca="1" si="3"/>
        <v/>
      </c>
      <c r="J66" s="14"/>
      <c r="K66" s="15" t="str">
        <f>IF(WSIA!F11="Not Comply",MAX($K$4:K65)+1,"")</f>
        <v/>
      </c>
      <c r="L66" s="15" t="str">
        <f>IF(WSIA!F11="Not Comply",T(WSIA!K11)&amp;"♦"&amp;T(WSIA!B11)&amp;"♦"&amp;T(WSIA!G11)&amp;"♦"&amp;T(WSIA!H11),"")</f>
        <v/>
      </c>
      <c r="Q66" s="15" t="str">
        <f>IFERROR(INDEX($L$5:$L$657,MATCH(ROWS($Q$5:Q66),$K$5:$K$657,0)),"")</f>
        <v/>
      </c>
    </row>
    <row r="67" spans="1:17" s="15" customFormat="1">
      <c r="A67" s="14" t="str">
        <f t="shared" si="6"/>
        <v/>
      </c>
      <c r="B67" s="14" t="str">
        <f t="shared" si="4"/>
        <v/>
      </c>
      <c r="C67" s="14" t="str">
        <f t="shared" si="0"/>
        <v/>
      </c>
      <c r="D67" s="14" t="str">
        <f t="shared" si="5"/>
        <v/>
      </c>
      <c r="E67" s="14" t="str">
        <f t="shared" si="1"/>
        <v/>
      </c>
      <c r="F67" s="232"/>
      <c r="G67" s="14"/>
      <c r="H67" s="233" t="str">
        <f t="shared" ca="1" si="2"/>
        <v/>
      </c>
      <c r="I67" s="14" t="str">
        <f t="shared" ca="1" si="3"/>
        <v/>
      </c>
      <c r="J67" s="14"/>
      <c r="K67" s="15" t="str">
        <f>IF(WSIA!F12="Not Comply",MAX($K$4:K66)+1,"")</f>
        <v/>
      </c>
      <c r="L67" s="15" t="str">
        <f>IF(WSIA!F12="Not Comply",T(WSIA!K12)&amp;"♦"&amp;T(WSIA!B12)&amp;"♦"&amp;T(WSIA!G12)&amp;"♦"&amp;T(WSIA!H12),"")</f>
        <v/>
      </c>
      <c r="Q67" s="15" t="str">
        <f>IFERROR(INDEX($L$5:$L$657,MATCH(ROWS($Q$5:Q67),$K$5:$K$657,0)),"")</f>
        <v/>
      </c>
    </row>
    <row r="68" spans="1:17" s="15" customFormat="1">
      <c r="A68" s="14" t="str">
        <f t="shared" si="6"/>
        <v/>
      </c>
      <c r="B68" s="14" t="str">
        <f t="shared" si="4"/>
        <v/>
      </c>
      <c r="C68" s="14" t="str">
        <f t="shared" si="0"/>
        <v/>
      </c>
      <c r="D68" s="14" t="str">
        <f t="shared" si="5"/>
        <v/>
      </c>
      <c r="E68" s="14" t="str">
        <f t="shared" si="1"/>
        <v/>
      </c>
      <c r="F68" s="232"/>
      <c r="G68" s="14"/>
      <c r="H68" s="233" t="str">
        <f t="shared" ca="1" si="2"/>
        <v/>
      </c>
      <c r="I68" s="14" t="str">
        <f t="shared" ca="1" si="3"/>
        <v/>
      </c>
      <c r="J68" s="14"/>
      <c r="K68" s="15" t="str">
        <f>IF(WSIA!F13="Not Comply",MAX($K$4:K67)+1,"")</f>
        <v/>
      </c>
      <c r="L68" s="15" t="str">
        <f>IF(WSIA!F13="Not Comply",T(WSIA!K13)&amp;"♦"&amp;T(WSIA!B13)&amp;"♦"&amp;T(WSIA!G13)&amp;"♦"&amp;T(WSIA!H13),"")</f>
        <v/>
      </c>
      <c r="Q68" s="15" t="str">
        <f>IFERROR(INDEX($L$5:$L$657,MATCH(ROWS($Q$5:Q68),$K$5:$K$657,0)),"")</f>
        <v/>
      </c>
    </row>
    <row r="69" spans="1:17" s="15" customFormat="1">
      <c r="A69" s="14" t="str">
        <f t="shared" si="6"/>
        <v/>
      </c>
      <c r="B69" s="14" t="str">
        <f t="shared" ref="B69:B104" si="7">IF($Q69="","",MID($Q69,FIND("♦",$Q69)+1,FIND("♦",$Q69,FIND("♦",$Q69)+1)-FIND("♦",$Q69)-1))</f>
        <v/>
      </c>
      <c r="C69" s="14" t="str">
        <f t="shared" ref="C69:C104" si="8">IF($Q69="","","Not Comply")</f>
        <v/>
      </c>
      <c r="D69" s="14" t="str">
        <f t="shared" si="5"/>
        <v/>
      </c>
      <c r="E69" s="14" t="str">
        <f t="shared" ref="E69:E104" si="9">IF($Q69="","",RIGHT($Q69,LEN($Q69)-FIND("♦",$Q69,FIND("♦",$Q69,FIND("♦",$Q69)+1)+1)))</f>
        <v/>
      </c>
      <c r="F69" s="232"/>
      <c r="G69" s="14"/>
      <c r="H69" s="233" t="str">
        <f t="shared" ref="H69:H104" ca="1" si="10">IF(OR($B69="",G69="Closed",F69=""),"",F69-TODAY())</f>
        <v/>
      </c>
      <c r="I69" s="14" t="str">
        <f t="shared" ref="I69:I104" ca="1" si="11">IF($B69="","",IF(G69="Closed","Closed",IF(F69="","No Date",IF(F69&lt;TODAY(),"Overdue",IF(F69-TODAY()&lt;=7,"Due Soon","On Track")))))</f>
        <v/>
      </c>
      <c r="J69" s="14"/>
      <c r="K69" s="15" t="str">
        <f>IF(WSIA!F14="Not Comply",MAX($K$4:K68)+1,"")</f>
        <v/>
      </c>
      <c r="L69" s="15" t="str">
        <f>IF(WSIA!F14="Not Comply",T(WSIA!K14)&amp;"♦"&amp;T(WSIA!B14)&amp;"♦"&amp;T(WSIA!G14)&amp;"♦"&amp;T(WSIA!H14),"")</f>
        <v/>
      </c>
      <c r="Q69" s="15" t="str">
        <f>IFERROR(INDEX($L$5:$L$657,MATCH(ROWS($Q$5:Q69),$K$5:$K$657,0)),"")</f>
        <v/>
      </c>
    </row>
    <row r="70" spans="1:17" s="15" customFormat="1">
      <c r="A70" s="14" t="str">
        <f t="shared" si="6"/>
        <v/>
      </c>
      <c r="B70" s="14" t="str">
        <f t="shared" si="7"/>
        <v/>
      </c>
      <c r="C70" s="14" t="str">
        <f t="shared" si="8"/>
        <v/>
      </c>
      <c r="D70" s="14" t="str">
        <f t="shared" ref="D70:D105" si="12">IF($Q70="","",MID($Q70,FIND("♦",$Q70,FIND("♦",$Q70)+1)+1,FIND("♦",$Q70,FIND("♦",$Q70,FIND("♦",$Q70)+1)+1)-FIND("♦",$Q70,FIND("♦",$Q70)+1)-1))</f>
        <v/>
      </c>
      <c r="E70" s="14" t="str">
        <f t="shared" si="9"/>
        <v/>
      </c>
      <c r="F70" s="232"/>
      <c r="G70" s="14"/>
      <c r="H70" s="233" t="str">
        <f t="shared" ca="1" si="10"/>
        <v/>
      </c>
      <c r="I70" s="14" t="str">
        <f t="shared" ca="1" si="11"/>
        <v/>
      </c>
      <c r="J70" s="14"/>
      <c r="K70" s="15" t="str">
        <f>IF(WSIA!F15="Not Comply",MAX($K$4:K69)+1,"")</f>
        <v/>
      </c>
      <c r="L70" s="15" t="str">
        <f>IF(WSIA!F15="Not Comply",T(WSIA!K15)&amp;"♦"&amp;T(WSIA!B15)&amp;"♦"&amp;T(WSIA!G15)&amp;"♦"&amp;T(WSIA!H15),"")</f>
        <v/>
      </c>
      <c r="Q70" s="15" t="str">
        <f>IFERROR(INDEX($L$5:$L$657,MATCH(ROWS($Q$5:Q70),$K$5:$K$657,0)),"")</f>
        <v/>
      </c>
    </row>
    <row r="71" spans="1:17" s="15" customFormat="1">
      <c r="A71" s="14" t="str">
        <f t="shared" ref="A71:A106" si="13">IF($Q71="","",LEFT($Q71,FIND("♦",$Q71)-1))</f>
        <v/>
      </c>
      <c r="B71" s="14" t="str">
        <f t="shared" si="7"/>
        <v/>
      </c>
      <c r="C71" s="14" t="str">
        <f t="shared" si="8"/>
        <v/>
      </c>
      <c r="D71" s="14" t="str">
        <f t="shared" si="12"/>
        <v/>
      </c>
      <c r="E71" s="14" t="str">
        <f t="shared" si="9"/>
        <v/>
      </c>
      <c r="F71" s="232"/>
      <c r="G71" s="14"/>
      <c r="H71" s="233" t="str">
        <f t="shared" ca="1" si="10"/>
        <v/>
      </c>
      <c r="I71" s="14" t="str">
        <f t="shared" ca="1" si="11"/>
        <v/>
      </c>
      <c r="J71" s="14"/>
      <c r="K71" s="15" t="str">
        <f>IF(WSIA!F16="Not Comply",MAX($K$4:K70)+1,"")</f>
        <v/>
      </c>
      <c r="L71" s="15" t="str">
        <f>IF(WSIA!F16="Not Comply",T(WSIA!K16)&amp;"♦"&amp;T(WSIA!B16)&amp;"♦"&amp;T(WSIA!G16)&amp;"♦"&amp;T(WSIA!H16),"")</f>
        <v/>
      </c>
      <c r="Q71" s="15" t="str">
        <f>IFERROR(INDEX($L$5:$L$657,MATCH(ROWS($Q$5:Q71),$K$5:$K$657,0)),"")</f>
        <v/>
      </c>
    </row>
    <row r="72" spans="1:17" s="15" customFormat="1">
      <c r="A72" s="14" t="str">
        <f t="shared" si="13"/>
        <v/>
      </c>
      <c r="B72" s="14" t="str">
        <f t="shared" si="7"/>
        <v/>
      </c>
      <c r="C72" s="14" t="str">
        <f t="shared" si="8"/>
        <v/>
      </c>
      <c r="D72" s="14" t="str">
        <f t="shared" si="12"/>
        <v/>
      </c>
      <c r="E72" s="14" t="str">
        <f t="shared" si="9"/>
        <v/>
      </c>
      <c r="F72" s="232"/>
      <c r="G72" s="14"/>
      <c r="H72" s="233" t="str">
        <f t="shared" ca="1" si="10"/>
        <v/>
      </c>
      <c r="I72" s="14" t="str">
        <f t="shared" ca="1" si="11"/>
        <v/>
      </c>
      <c r="J72" s="14"/>
      <c r="K72" s="15" t="str">
        <f>IF(WSIA!F17="Not Comply",MAX($K$4:K71)+1,"")</f>
        <v/>
      </c>
      <c r="L72" s="15" t="str">
        <f>IF(WSIA!F17="Not Comply",T(WSIA!K17)&amp;"♦"&amp;T(WSIA!B17)&amp;"♦"&amp;T(WSIA!G17)&amp;"♦"&amp;T(WSIA!H17),"")</f>
        <v/>
      </c>
      <c r="Q72" s="15" t="str">
        <f>IFERROR(INDEX($L$5:$L$657,MATCH(ROWS($Q$5:Q72),$K$5:$K$657,0)),"")</f>
        <v/>
      </c>
    </row>
    <row r="73" spans="1:17" s="15" customFormat="1">
      <c r="A73" s="14" t="str">
        <f t="shared" si="13"/>
        <v/>
      </c>
      <c r="B73" s="14" t="str">
        <f t="shared" si="7"/>
        <v/>
      </c>
      <c r="C73" s="14" t="str">
        <f t="shared" si="8"/>
        <v/>
      </c>
      <c r="D73" s="14" t="str">
        <f t="shared" si="12"/>
        <v/>
      </c>
      <c r="E73" s="14" t="str">
        <f t="shared" si="9"/>
        <v/>
      </c>
      <c r="F73" s="232"/>
      <c r="G73" s="14"/>
      <c r="H73" s="233" t="str">
        <f t="shared" ca="1" si="10"/>
        <v/>
      </c>
      <c r="I73" s="14" t="str">
        <f t="shared" ca="1" si="11"/>
        <v/>
      </c>
      <c r="J73" s="14"/>
      <c r="K73" s="15" t="str">
        <f>IF(WSIA!F18="Not Comply",MAX($K$4:K72)+1,"")</f>
        <v/>
      </c>
      <c r="L73" s="15" t="str">
        <f>IF(WSIA!F18="Not Comply",T(WSIA!K18)&amp;"♦"&amp;T(WSIA!B18)&amp;"♦"&amp;T(WSIA!G18)&amp;"♦"&amp;T(WSIA!H18),"")</f>
        <v/>
      </c>
      <c r="Q73" s="15" t="str">
        <f>IFERROR(INDEX($L$5:$L$657,MATCH(ROWS($Q$5:Q73),$K$5:$K$657,0)),"")</f>
        <v/>
      </c>
    </row>
    <row r="74" spans="1:17" s="15" customFormat="1">
      <c r="A74" s="14" t="str">
        <f t="shared" si="13"/>
        <v/>
      </c>
      <c r="B74" s="14" t="str">
        <f t="shared" si="7"/>
        <v/>
      </c>
      <c r="C74" s="14" t="str">
        <f t="shared" si="8"/>
        <v/>
      </c>
      <c r="D74" s="14" t="str">
        <f t="shared" si="12"/>
        <v/>
      </c>
      <c r="E74" s="14" t="str">
        <f t="shared" si="9"/>
        <v/>
      </c>
      <c r="F74" s="232"/>
      <c r="G74" s="14"/>
      <c r="H74" s="233" t="str">
        <f t="shared" ca="1" si="10"/>
        <v/>
      </c>
      <c r="I74" s="14" t="str">
        <f t="shared" ca="1" si="11"/>
        <v/>
      </c>
      <c r="J74" s="14"/>
      <c r="K74" s="15" t="str">
        <f>IF(WSIA!F19="Not Comply",MAX($K$4:K73)+1,"")</f>
        <v/>
      </c>
      <c r="L74" s="15" t="str">
        <f>IF(WSIA!F19="Not Comply",T(WSIA!K19)&amp;"♦"&amp;T(WSIA!B19)&amp;"♦"&amp;T(WSIA!G19)&amp;"♦"&amp;T(WSIA!H19),"")</f>
        <v/>
      </c>
      <c r="Q74" s="15" t="str">
        <f>IFERROR(INDEX($L$5:$L$657,MATCH(ROWS($Q$5:Q74),$K$5:$K$657,0)),"")</f>
        <v/>
      </c>
    </row>
    <row r="75" spans="1:17" s="15" customFormat="1">
      <c r="A75" s="14" t="str">
        <f t="shared" si="13"/>
        <v/>
      </c>
      <c r="B75" s="14" t="str">
        <f t="shared" si="7"/>
        <v/>
      </c>
      <c r="C75" s="14" t="str">
        <f t="shared" si="8"/>
        <v/>
      </c>
      <c r="D75" s="14" t="str">
        <f t="shared" si="12"/>
        <v/>
      </c>
      <c r="E75" s="14" t="str">
        <f t="shared" si="9"/>
        <v/>
      </c>
      <c r="F75" s="232"/>
      <c r="G75" s="14"/>
      <c r="H75" s="233" t="str">
        <f t="shared" ca="1" si="10"/>
        <v/>
      </c>
      <c r="I75" s="14" t="str">
        <f t="shared" ca="1" si="11"/>
        <v/>
      </c>
      <c r="J75" s="14"/>
      <c r="K75" s="15" t="str">
        <f>IF(WSIA!F20="Not Comply",MAX($K$4:K74)+1,"")</f>
        <v/>
      </c>
      <c r="L75" s="15" t="str">
        <f>IF(WSIA!F20="Not Comply",T(WSIA!K20)&amp;"♦"&amp;T(WSIA!B20)&amp;"♦"&amp;T(WSIA!G20)&amp;"♦"&amp;T(WSIA!H20),"")</f>
        <v/>
      </c>
      <c r="Q75" s="15" t="str">
        <f>IFERROR(INDEX($L$5:$L$657,MATCH(ROWS($Q$5:Q75),$K$5:$K$657,0)),"")</f>
        <v/>
      </c>
    </row>
    <row r="76" spans="1:17" s="15" customFormat="1">
      <c r="A76" s="14" t="str">
        <f t="shared" si="13"/>
        <v/>
      </c>
      <c r="B76" s="14" t="str">
        <f t="shared" si="7"/>
        <v/>
      </c>
      <c r="C76" s="14" t="str">
        <f t="shared" si="8"/>
        <v/>
      </c>
      <c r="D76" s="14" t="str">
        <f t="shared" si="12"/>
        <v/>
      </c>
      <c r="E76" s="14" t="str">
        <f t="shared" si="9"/>
        <v/>
      </c>
      <c r="F76" s="232"/>
      <c r="G76" s="14"/>
      <c r="H76" s="233" t="str">
        <f t="shared" ca="1" si="10"/>
        <v/>
      </c>
      <c r="I76" s="14" t="str">
        <f t="shared" ca="1" si="11"/>
        <v/>
      </c>
      <c r="J76" s="14"/>
      <c r="K76" s="15" t="str">
        <f>IF(WSIA!F21="Not Comply",MAX($K$4:K75)+1,"")</f>
        <v/>
      </c>
      <c r="L76" s="15" t="str">
        <f>IF(WSIA!F21="Not Comply",T(WSIA!K21)&amp;"♦"&amp;T(WSIA!B21)&amp;"♦"&amp;T(WSIA!G21)&amp;"♦"&amp;T(WSIA!H21),"")</f>
        <v/>
      </c>
      <c r="Q76" s="15" t="str">
        <f>IFERROR(INDEX($L$5:$L$657,MATCH(ROWS($Q$5:Q76),$K$5:$K$657,0)),"")</f>
        <v/>
      </c>
    </row>
    <row r="77" spans="1:17" s="15" customFormat="1">
      <c r="A77" s="14" t="str">
        <f t="shared" si="13"/>
        <v/>
      </c>
      <c r="B77" s="14" t="str">
        <f t="shared" si="7"/>
        <v/>
      </c>
      <c r="C77" s="14" t="str">
        <f t="shared" si="8"/>
        <v/>
      </c>
      <c r="D77" s="14" t="str">
        <f t="shared" si="12"/>
        <v/>
      </c>
      <c r="E77" s="14" t="str">
        <f t="shared" si="9"/>
        <v/>
      </c>
      <c r="F77" s="232"/>
      <c r="G77" s="14"/>
      <c r="H77" s="233" t="str">
        <f t="shared" ca="1" si="10"/>
        <v/>
      </c>
      <c r="I77" s="14" t="str">
        <f t="shared" ca="1" si="11"/>
        <v/>
      </c>
      <c r="J77" s="14"/>
      <c r="K77" s="15" t="str">
        <f>IF(WSIA!F22="Not Comply",MAX($K$4:K76)+1,"")</f>
        <v/>
      </c>
      <c r="L77" s="15" t="str">
        <f>IF(WSIA!F22="Not Comply",T(WSIA!K22)&amp;"♦"&amp;T(WSIA!B22)&amp;"♦"&amp;T(WSIA!G22)&amp;"♦"&amp;T(WSIA!H22),"")</f>
        <v/>
      </c>
      <c r="Q77" s="15" t="str">
        <f>IFERROR(INDEX($L$5:$L$657,MATCH(ROWS($Q$5:Q77),$K$5:$K$657,0)),"")</f>
        <v/>
      </c>
    </row>
    <row r="78" spans="1:17" s="15" customFormat="1">
      <c r="A78" s="14" t="str">
        <f t="shared" si="13"/>
        <v/>
      </c>
      <c r="B78" s="14" t="str">
        <f t="shared" si="7"/>
        <v/>
      </c>
      <c r="C78" s="14" t="str">
        <f t="shared" si="8"/>
        <v/>
      </c>
      <c r="D78" s="14" t="str">
        <f t="shared" si="12"/>
        <v/>
      </c>
      <c r="E78" s="14" t="str">
        <f t="shared" si="9"/>
        <v/>
      </c>
      <c r="F78" s="232"/>
      <c r="G78" s="14"/>
      <c r="H78" s="233" t="str">
        <f t="shared" ca="1" si="10"/>
        <v/>
      </c>
      <c r="I78" s="14" t="str">
        <f t="shared" ca="1" si="11"/>
        <v/>
      </c>
      <c r="J78" s="14"/>
      <c r="K78" s="15" t="str">
        <f>IF(WSIA!F23="Not Comply",MAX($K$4:K77)+1,"")</f>
        <v/>
      </c>
      <c r="L78" s="15" t="str">
        <f>IF(WSIA!F23="Not Comply",T(WSIA!K23)&amp;"♦"&amp;T(WSIA!B23)&amp;"♦"&amp;T(WSIA!G23)&amp;"♦"&amp;T(WSIA!H23),"")</f>
        <v/>
      </c>
      <c r="Q78" s="15" t="str">
        <f>IFERROR(INDEX($L$5:$L$657,MATCH(ROWS($Q$5:Q78),$K$5:$K$657,0)),"")</f>
        <v/>
      </c>
    </row>
    <row r="79" spans="1:17" s="15" customFormat="1">
      <c r="A79" s="14" t="str">
        <f t="shared" si="13"/>
        <v/>
      </c>
      <c r="B79" s="14" t="str">
        <f t="shared" si="7"/>
        <v/>
      </c>
      <c r="C79" s="14" t="str">
        <f t="shared" si="8"/>
        <v/>
      </c>
      <c r="D79" s="14" t="str">
        <f t="shared" si="12"/>
        <v/>
      </c>
      <c r="E79" s="14" t="str">
        <f t="shared" si="9"/>
        <v/>
      </c>
      <c r="F79" s="232"/>
      <c r="G79" s="14"/>
      <c r="H79" s="233" t="str">
        <f t="shared" ca="1" si="10"/>
        <v/>
      </c>
      <c r="I79" s="14" t="str">
        <f t="shared" ca="1" si="11"/>
        <v/>
      </c>
      <c r="J79" s="14"/>
      <c r="K79" s="15" t="str">
        <f>IF(WSIA!F24="Not Comply",MAX($K$4:K78)+1,"")</f>
        <v/>
      </c>
      <c r="L79" s="15" t="str">
        <f>IF(WSIA!F24="Not Comply",T(WSIA!K24)&amp;"♦"&amp;T(WSIA!B24)&amp;"♦"&amp;T(WSIA!G24)&amp;"♦"&amp;T(WSIA!H24),"")</f>
        <v/>
      </c>
      <c r="Q79" s="15" t="str">
        <f>IFERROR(INDEX($L$5:$L$657,MATCH(ROWS($Q$5:Q79),$K$5:$K$657,0)),"")</f>
        <v/>
      </c>
    </row>
    <row r="80" spans="1:17" s="15" customFormat="1">
      <c r="A80" s="14" t="str">
        <f t="shared" si="13"/>
        <v/>
      </c>
      <c r="B80" s="14" t="str">
        <f t="shared" si="7"/>
        <v/>
      </c>
      <c r="C80" s="14" t="str">
        <f t="shared" si="8"/>
        <v/>
      </c>
      <c r="D80" s="14" t="str">
        <f t="shared" si="12"/>
        <v/>
      </c>
      <c r="E80" s="14" t="str">
        <f t="shared" si="9"/>
        <v/>
      </c>
      <c r="F80" s="232"/>
      <c r="G80" s="14"/>
      <c r="H80" s="233" t="str">
        <f t="shared" ca="1" si="10"/>
        <v/>
      </c>
      <c r="I80" s="14" t="str">
        <f t="shared" ca="1" si="11"/>
        <v/>
      </c>
      <c r="J80" s="14"/>
      <c r="K80" s="15" t="str">
        <f>IF(WSIA!F25="Not Comply",MAX($K$4:K79)+1,"")</f>
        <v/>
      </c>
      <c r="L80" s="15" t="str">
        <f>IF(WSIA!F25="Not Comply",T(WSIA!K25)&amp;"♦"&amp;T(WSIA!B25)&amp;"♦"&amp;T(WSIA!G25)&amp;"♦"&amp;T(WSIA!H25),"")</f>
        <v/>
      </c>
      <c r="Q80" s="15" t="str">
        <f>IFERROR(INDEX($L$5:$L$657,MATCH(ROWS($Q$5:Q80),$K$5:$K$657,0)),"")</f>
        <v/>
      </c>
    </row>
    <row r="81" spans="1:17" s="15" customFormat="1">
      <c r="A81" s="14" t="str">
        <f t="shared" si="13"/>
        <v/>
      </c>
      <c r="B81" s="14" t="str">
        <f t="shared" si="7"/>
        <v/>
      </c>
      <c r="C81" s="14" t="str">
        <f t="shared" si="8"/>
        <v/>
      </c>
      <c r="D81" s="14" t="str">
        <f t="shared" si="12"/>
        <v/>
      </c>
      <c r="E81" s="14" t="str">
        <f t="shared" si="9"/>
        <v/>
      </c>
      <c r="F81" s="232"/>
      <c r="G81" s="14"/>
      <c r="H81" s="233" t="str">
        <f t="shared" ca="1" si="10"/>
        <v/>
      </c>
      <c r="I81" s="14" t="str">
        <f t="shared" ca="1" si="11"/>
        <v/>
      </c>
      <c r="J81" s="14"/>
      <c r="K81" s="15" t="str">
        <f>IF(WSIA!F26="Not Comply",MAX($K$4:K80)+1,"")</f>
        <v/>
      </c>
      <c r="L81" s="15" t="str">
        <f>IF(WSIA!F26="Not Comply",T(WSIA!K26)&amp;"♦"&amp;T(WSIA!B26)&amp;"♦"&amp;T(WSIA!G26)&amp;"♦"&amp;T(WSIA!H26),"")</f>
        <v/>
      </c>
      <c r="Q81" s="15" t="str">
        <f>IFERROR(INDEX($L$5:$L$657,MATCH(ROWS($Q$5:Q81),$K$5:$K$657,0)),"")</f>
        <v/>
      </c>
    </row>
    <row r="82" spans="1:17" s="15" customFormat="1">
      <c r="A82" s="14" t="str">
        <f t="shared" si="13"/>
        <v/>
      </c>
      <c r="B82" s="14" t="str">
        <f t="shared" si="7"/>
        <v/>
      </c>
      <c r="C82" s="14" t="str">
        <f t="shared" si="8"/>
        <v/>
      </c>
      <c r="D82" s="14" t="str">
        <f t="shared" si="12"/>
        <v/>
      </c>
      <c r="E82" s="14" t="str">
        <f t="shared" si="9"/>
        <v/>
      </c>
      <c r="F82" s="232"/>
      <c r="G82" s="14"/>
      <c r="H82" s="233" t="str">
        <f t="shared" ca="1" si="10"/>
        <v/>
      </c>
      <c r="I82" s="14" t="str">
        <f t="shared" ca="1" si="11"/>
        <v/>
      </c>
      <c r="J82" s="14"/>
      <c r="K82" s="15" t="str">
        <f>IF(WSIA!F27="Not Comply",MAX($K$4:K81)+1,"")</f>
        <v/>
      </c>
      <c r="L82" s="15" t="str">
        <f>IF(WSIA!F27="Not Comply",T(WSIA!K27)&amp;"♦"&amp;T(WSIA!B27)&amp;"♦"&amp;T(WSIA!G27)&amp;"♦"&amp;T(WSIA!H27),"")</f>
        <v/>
      </c>
      <c r="Q82" s="15" t="str">
        <f>IFERROR(INDEX($L$5:$L$657,MATCH(ROWS($Q$5:Q82),$K$5:$K$657,0)),"")</f>
        <v/>
      </c>
    </row>
    <row r="83" spans="1:17" s="15" customFormat="1">
      <c r="A83" s="14" t="str">
        <f t="shared" si="13"/>
        <v/>
      </c>
      <c r="B83" s="14" t="str">
        <f t="shared" si="7"/>
        <v/>
      </c>
      <c r="C83" s="14" t="str">
        <f t="shared" si="8"/>
        <v/>
      </c>
      <c r="D83" s="14" t="str">
        <f t="shared" si="12"/>
        <v/>
      </c>
      <c r="E83" s="14" t="str">
        <f t="shared" si="9"/>
        <v/>
      </c>
      <c r="F83" s="232"/>
      <c r="G83" s="14"/>
      <c r="H83" s="233" t="str">
        <f t="shared" ca="1" si="10"/>
        <v/>
      </c>
      <c r="I83" s="14" t="str">
        <f t="shared" ca="1" si="11"/>
        <v/>
      </c>
      <c r="J83" s="14"/>
      <c r="K83" s="15" t="str">
        <f>IF(WSIA!F28="Not Comply",MAX($K$4:K82)+1,"")</f>
        <v/>
      </c>
      <c r="L83" s="15" t="str">
        <f>IF(WSIA!F28="Not Comply",T(WSIA!K28)&amp;"♦"&amp;T(WSIA!B28)&amp;"♦"&amp;T(WSIA!G28)&amp;"♦"&amp;T(WSIA!H28),"")</f>
        <v/>
      </c>
      <c r="Q83" s="15" t="str">
        <f>IFERROR(INDEX($L$5:$L$657,MATCH(ROWS($Q$5:Q83),$K$5:$K$657,0)),"")</f>
        <v/>
      </c>
    </row>
    <row r="84" spans="1:17" s="15" customFormat="1">
      <c r="A84" s="14" t="str">
        <f t="shared" si="13"/>
        <v/>
      </c>
      <c r="B84" s="14" t="str">
        <f t="shared" si="7"/>
        <v/>
      </c>
      <c r="C84" s="14" t="str">
        <f t="shared" si="8"/>
        <v/>
      </c>
      <c r="D84" s="14" t="str">
        <f t="shared" si="12"/>
        <v/>
      </c>
      <c r="E84" s="14" t="str">
        <f t="shared" si="9"/>
        <v/>
      </c>
      <c r="F84" s="232"/>
      <c r="G84" s="14"/>
      <c r="H84" s="233" t="str">
        <f t="shared" ca="1" si="10"/>
        <v/>
      </c>
      <c r="I84" s="14" t="str">
        <f t="shared" ca="1" si="11"/>
        <v/>
      </c>
      <c r="J84" s="14"/>
      <c r="K84" s="15" t="str">
        <f>IF(WSIA!F29="Not Comply",MAX($K$4:K83)+1,"")</f>
        <v/>
      </c>
      <c r="L84" s="15" t="str">
        <f>IF(WSIA!F29="Not Comply",T(WSIA!K29)&amp;"♦"&amp;T(WSIA!B29)&amp;"♦"&amp;T(WSIA!G29)&amp;"♦"&amp;T(WSIA!H29),"")</f>
        <v/>
      </c>
      <c r="Q84" s="15" t="str">
        <f>IFERROR(INDEX($L$5:$L$657,MATCH(ROWS($Q$5:Q84),$K$5:$K$657,0)),"")</f>
        <v/>
      </c>
    </row>
    <row r="85" spans="1:17" s="15" customFormat="1">
      <c r="A85" s="14" t="str">
        <f t="shared" si="13"/>
        <v/>
      </c>
      <c r="B85" s="14" t="str">
        <f t="shared" si="7"/>
        <v/>
      </c>
      <c r="C85" s="14" t="str">
        <f t="shared" si="8"/>
        <v/>
      </c>
      <c r="D85" s="14" t="str">
        <f t="shared" si="12"/>
        <v/>
      </c>
      <c r="E85" s="14" t="str">
        <f t="shared" si="9"/>
        <v/>
      </c>
      <c r="F85" s="232"/>
      <c r="G85" s="14"/>
      <c r="H85" s="233" t="str">
        <f t="shared" ca="1" si="10"/>
        <v/>
      </c>
      <c r="I85" s="14" t="str">
        <f t="shared" ca="1" si="11"/>
        <v/>
      </c>
      <c r="J85" s="14"/>
      <c r="K85" s="15" t="str">
        <f>IF(WSIA!F30="Not Comply",MAX($K$4:K84)+1,"")</f>
        <v/>
      </c>
      <c r="L85" s="15" t="str">
        <f>IF(WSIA!F30="Not Comply",T(WSIA!K30)&amp;"♦"&amp;T(WSIA!B30)&amp;"♦"&amp;T(WSIA!G30)&amp;"♦"&amp;T(WSIA!H30),"")</f>
        <v/>
      </c>
      <c r="Q85" s="15" t="str">
        <f>IFERROR(INDEX($L$5:$L$657,MATCH(ROWS($Q$5:Q85),$K$5:$K$657,0)),"")</f>
        <v/>
      </c>
    </row>
    <row r="86" spans="1:17" s="15" customFormat="1">
      <c r="A86" s="14" t="str">
        <f t="shared" si="13"/>
        <v/>
      </c>
      <c r="B86" s="14" t="str">
        <f t="shared" si="7"/>
        <v/>
      </c>
      <c r="C86" s="14" t="str">
        <f t="shared" si="8"/>
        <v/>
      </c>
      <c r="D86" s="14" t="str">
        <f t="shared" si="12"/>
        <v/>
      </c>
      <c r="E86" s="14" t="str">
        <f t="shared" si="9"/>
        <v/>
      </c>
      <c r="F86" s="232"/>
      <c r="G86" s="14"/>
      <c r="H86" s="233" t="str">
        <f t="shared" ca="1" si="10"/>
        <v/>
      </c>
      <c r="I86" s="14" t="str">
        <f t="shared" ca="1" si="11"/>
        <v/>
      </c>
      <c r="J86" s="14"/>
      <c r="K86" s="15" t="str">
        <f>IF(WSIA!F31="Not Comply",MAX($K$4:K85)+1,"")</f>
        <v/>
      </c>
      <c r="L86" s="15" t="str">
        <f>IF(WSIA!F31="Not Comply",T(WSIA!K31)&amp;"♦"&amp;T(WSIA!B31)&amp;"♦"&amp;T(WSIA!G31)&amp;"♦"&amp;T(WSIA!H31),"")</f>
        <v/>
      </c>
      <c r="Q86" s="15" t="str">
        <f>IFERROR(INDEX($L$5:$L$657,MATCH(ROWS($Q$5:Q86),$K$5:$K$657,0)),"")</f>
        <v/>
      </c>
    </row>
    <row r="87" spans="1:17" s="15" customFormat="1">
      <c r="A87" s="14" t="str">
        <f t="shared" si="13"/>
        <v/>
      </c>
      <c r="B87" s="14" t="str">
        <f t="shared" si="7"/>
        <v/>
      </c>
      <c r="C87" s="14" t="str">
        <f t="shared" si="8"/>
        <v/>
      </c>
      <c r="D87" s="14" t="str">
        <f t="shared" si="12"/>
        <v/>
      </c>
      <c r="E87" s="14" t="str">
        <f t="shared" si="9"/>
        <v/>
      </c>
      <c r="F87" s="232"/>
      <c r="G87" s="14"/>
      <c r="H87" s="233" t="str">
        <f t="shared" ca="1" si="10"/>
        <v/>
      </c>
      <c r="I87" s="14" t="str">
        <f t="shared" ca="1" si="11"/>
        <v/>
      </c>
      <c r="J87" s="14"/>
      <c r="K87" s="15" t="str">
        <f>IF(WSIA!F32="Not Comply",MAX($K$4:K86)+1,"")</f>
        <v/>
      </c>
      <c r="L87" s="15" t="str">
        <f>IF(WSIA!F32="Not Comply",T(WSIA!K32)&amp;"♦"&amp;T(WSIA!B32)&amp;"♦"&amp;T(WSIA!G32)&amp;"♦"&amp;T(WSIA!H32),"")</f>
        <v/>
      </c>
      <c r="Q87" s="15" t="str">
        <f>IFERROR(INDEX($L$5:$L$657,MATCH(ROWS($Q$5:Q87),$K$5:$K$657,0)),"")</f>
        <v/>
      </c>
    </row>
    <row r="88" spans="1:17" s="15" customFormat="1">
      <c r="A88" s="14" t="str">
        <f t="shared" si="13"/>
        <v/>
      </c>
      <c r="B88" s="14" t="str">
        <f t="shared" si="7"/>
        <v/>
      </c>
      <c r="C88" s="14" t="str">
        <f t="shared" si="8"/>
        <v/>
      </c>
      <c r="D88" s="14" t="str">
        <f t="shared" si="12"/>
        <v/>
      </c>
      <c r="E88" s="14" t="str">
        <f t="shared" si="9"/>
        <v/>
      </c>
      <c r="F88" s="232"/>
      <c r="G88" s="14"/>
      <c r="H88" s="233" t="str">
        <f t="shared" ca="1" si="10"/>
        <v/>
      </c>
      <c r="I88" s="14" t="str">
        <f t="shared" ca="1" si="11"/>
        <v/>
      </c>
      <c r="J88" s="14"/>
      <c r="K88" s="15" t="str">
        <f>IF(WSIA!F33="Not Comply",MAX($K$4:K87)+1,"")</f>
        <v/>
      </c>
      <c r="L88" s="15" t="str">
        <f>IF(WSIA!F33="Not Comply",T(WSIA!K33)&amp;"♦"&amp;T(WSIA!B33)&amp;"♦"&amp;T(WSIA!G33)&amp;"♦"&amp;T(WSIA!H33),"")</f>
        <v/>
      </c>
      <c r="Q88" s="15" t="str">
        <f>IFERROR(INDEX($L$5:$L$657,MATCH(ROWS($Q$5:Q88),$K$5:$K$657,0)),"")</f>
        <v/>
      </c>
    </row>
    <row r="89" spans="1:17" s="15" customFormat="1">
      <c r="A89" s="14" t="str">
        <f t="shared" si="13"/>
        <v/>
      </c>
      <c r="B89" s="14" t="str">
        <f t="shared" si="7"/>
        <v/>
      </c>
      <c r="C89" s="14" t="str">
        <f t="shared" si="8"/>
        <v/>
      </c>
      <c r="D89" s="14" t="str">
        <f t="shared" si="12"/>
        <v/>
      </c>
      <c r="E89" s="14" t="str">
        <f t="shared" si="9"/>
        <v/>
      </c>
      <c r="F89" s="232"/>
      <c r="G89" s="14"/>
      <c r="H89" s="233" t="str">
        <f t="shared" ca="1" si="10"/>
        <v/>
      </c>
      <c r="I89" s="14" t="str">
        <f t="shared" ca="1" si="11"/>
        <v/>
      </c>
      <c r="J89" s="14"/>
      <c r="K89" s="15" t="str">
        <f>IF(WSIA!F34="Not Comply",MAX($K$4:K88)+1,"")</f>
        <v/>
      </c>
      <c r="L89" s="15" t="str">
        <f>IF(WSIA!F34="Not Comply",T(WSIA!K34)&amp;"♦"&amp;T(WSIA!B34)&amp;"♦"&amp;T(WSIA!G34)&amp;"♦"&amp;T(WSIA!H34),"")</f>
        <v/>
      </c>
      <c r="Q89" s="15" t="str">
        <f>IFERROR(INDEX($L$5:$L$657,MATCH(ROWS($Q$5:Q89),$K$5:$K$657,0)),"")</f>
        <v/>
      </c>
    </row>
    <row r="90" spans="1:17" s="15" customFormat="1">
      <c r="A90" s="14" t="str">
        <f t="shared" si="13"/>
        <v/>
      </c>
      <c r="B90" s="14" t="str">
        <f t="shared" si="7"/>
        <v/>
      </c>
      <c r="C90" s="14" t="str">
        <f t="shared" si="8"/>
        <v/>
      </c>
      <c r="D90" s="14" t="str">
        <f t="shared" si="12"/>
        <v/>
      </c>
      <c r="E90" s="14" t="str">
        <f t="shared" si="9"/>
        <v/>
      </c>
      <c r="F90" s="232"/>
      <c r="G90" s="14"/>
      <c r="H90" s="233" t="str">
        <f t="shared" ca="1" si="10"/>
        <v/>
      </c>
      <c r="I90" s="14" t="str">
        <f t="shared" ca="1" si="11"/>
        <v/>
      </c>
      <c r="J90" s="14"/>
      <c r="K90" s="15" t="str">
        <f>IF(WSIA!F35="Not Comply",MAX($K$4:K89)+1,"")</f>
        <v/>
      </c>
      <c r="L90" s="15" t="str">
        <f>IF(WSIA!F35="Not Comply",T(WSIA!K35)&amp;"♦"&amp;T(WSIA!B35)&amp;"♦"&amp;T(WSIA!G35)&amp;"♦"&amp;T(WSIA!H35),"")</f>
        <v/>
      </c>
      <c r="Q90" s="15" t="str">
        <f>IFERROR(INDEX($L$5:$L$657,MATCH(ROWS($Q$5:Q90),$K$5:$K$657,0)),"")</f>
        <v/>
      </c>
    </row>
    <row r="91" spans="1:17" s="15" customFormat="1">
      <c r="A91" s="14" t="str">
        <f t="shared" si="13"/>
        <v/>
      </c>
      <c r="B91" s="14" t="str">
        <f t="shared" si="7"/>
        <v/>
      </c>
      <c r="C91" s="14" t="str">
        <f t="shared" si="8"/>
        <v/>
      </c>
      <c r="D91" s="14" t="str">
        <f t="shared" si="12"/>
        <v/>
      </c>
      <c r="E91" s="14" t="str">
        <f t="shared" si="9"/>
        <v/>
      </c>
      <c r="F91" s="232"/>
      <c r="G91" s="14"/>
      <c r="H91" s="233" t="str">
        <f t="shared" ca="1" si="10"/>
        <v/>
      </c>
      <c r="I91" s="14" t="str">
        <f t="shared" ca="1" si="11"/>
        <v/>
      </c>
      <c r="J91" s="14"/>
      <c r="K91" s="15" t="str">
        <f>IF(WSIA!F36="Not Comply",MAX($K$4:K90)+1,"")</f>
        <v/>
      </c>
      <c r="L91" s="15" t="str">
        <f>IF(WSIA!F36="Not Comply",T(WSIA!K36)&amp;"♦"&amp;T(WSIA!B36)&amp;"♦"&amp;T(WSIA!G36)&amp;"♦"&amp;T(WSIA!H36),"")</f>
        <v/>
      </c>
      <c r="Q91" s="15" t="str">
        <f>IFERROR(INDEX($L$5:$L$657,MATCH(ROWS($Q$5:Q91),$K$5:$K$657,0)),"")</f>
        <v/>
      </c>
    </row>
    <row r="92" spans="1:17" s="15" customFormat="1">
      <c r="A92" s="14" t="str">
        <f t="shared" si="13"/>
        <v/>
      </c>
      <c r="B92" s="14" t="str">
        <f t="shared" si="7"/>
        <v/>
      </c>
      <c r="C92" s="14" t="str">
        <f t="shared" si="8"/>
        <v/>
      </c>
      <c r="D92" s="14" t="str">
        <f t="shared" si="12"/>
        <v/>
      </c>
      <c r="E92" s="14" t="str">
        <f t="shared" si="9"/>
        <v/>
      </c>
      <c r="F92" s="232"/>
      <c r="G92" s="14"/>
      <c r="H92" s="233" t="str">
        <f t="shared" ca="1" si="10"/>
        <v/>
      </c>
      <c r="I92" s="14" t="str">
        <f t="shared" ca="1" si="11"/>
        <v/>
      </c>
      <c r="J92" s="14"/>
      <c r="K92" s="15" t="str">
        <f>IF(WSIA!F37="Not Comply",MAX($K$4:K91)+1,"")</f>
        <v/>
      </c>
      <c r="L92" s="15" t="str">
        <f>IF(WSIA!F37="Not Comply",T(WSIA!K37)&amp;"♦"&amp;T(WSIA!B37)&amp;"♦"&amp;T(WSIA!G37)&amp;"♦"&amp;T(WSIA!H37),"")</f>
        <v/>
      </c>
      <c r="Q92" s="15" t="str">
        <f>IFERROR(INDEX($L$5:$L$657,MATCH(ROWS($Q$5:Q92),$K$5:$K$657,0)),"")</f>
        <v/>
      </c>
    </row>
    <row r="93" spans="1:17" s="15" customFormat="1">
      <c r="A93" s="14" t="str">
        <f t="shared" si="13"/>
        <v/>
      </c>
      <c r="B93" s="14" t="str">
        <f t="shared" si="7"/>
        <v/>
      </c>
      <c r="C93" s="14" t="str">
        <f t="shared" si="8"/>
        <v/>
      </c>
      <c r="D93" s="14" t="str">
        <f t="shared" si="12"/>
        <v/>
      </c>
      <c r="E93" s="14" t="str">
        <f t="shared" si="9"/>
        <v/>
      </c>
      <c r="F93" s="232"/>
      <c r="G93" s="14"/>
      <c r="H93" s="233" t="str">
        <f t="shared" ca="1" si="10"/>
        <v/>
      </c>
      <c r="I93" s="14" t="str">
        <f t="shared" ca="1" si="11"/>
        <v/>
      </c>
      <c r="J93" s="14"/>
      <c r="K93" s="15" t="str">
        <f>IF(CIDB!F4="Not Comply",MAX($K$4:K92)+1,"")</f>
        <v/>
      </c>
      <c r="L93" s="15" t="str">
        <f>IF(CIDB!F4="Not Comply",T(CIDB!K4)&amp;"♦"&amp;T(CIDB!B4)&amp;"♦"&amp;T(CIDB!G4)&amp;"♦"&amp;T(CIDB!H4),"")</f>
        <v/>
      </c>
      <c r="Q93" s="15" t="str">
        <f>IFERROR(INDEX($L$5:$L$657,MATCH(ROWS($Q$5:Q93),$K$5:$K$657,0)),"")</f>
        <v/>
      </c>
    </row>
    <row r="94" spans="1:17" s="15" customFormat="1">
      <c r="A94" s="14" t="str">
        <f t="shared" si="13"/>
        <v/>
      </c>
      <c r="B94" s="14" t="str">
        <f t="shared" si="7"/>
        <v/>
      </c>
      <c r="C94" s="14" t="str">
        <f t="shared" si="8"/>
        <v/>
      </c>
      <c r="D94" s="14" t="str">
        <f t="shared" si="12"/>
        <v/>
      </c>
      <c r="E94" s="14" t="str">
        <f t="shared" si="9"/>
        <v/>
      </c>
      <c r="F94" s="232"/>
      <c r="G94" s="14"/>
      <c r="H94" s="233" t="str">
        <f t="shared" ca="1" si="10"/>
        <v/>
      </c>
      <c r="I94" s="14" t="str">
        <f t="shared" ca="1" si="11"/>
        <v/>
      </c>
      <c r="J94" s="14"/>
      <c r="K94" s="15" t="str">
        <f>IF(CIDB!F5="Not Comply",MAX($K$4:K93)+1,"")</f>
        <v/>
      </c>
      <c r="L94" s="15" t="str">
        <f>IF(CIDB!F5="Not Comply",T(CIDB!K5)&amp;"♦"&amp;T(CIDB!B5)&amp;"♦"&amp;T(CIDB!G5)&amp;"♦"&amp;T(CIDB!H5),"")</f>
        <v/>
      </c>
      <c r="Q94" s="15" t="str">
        <f>IFERROR(INDEX($L$5:$L$657,MATCH(ROWS($Q$5:Q94),$K$5:$K$657,0)),"")</f>
        <v/>
      </c>
    </row>
    <row r="95" spans="1:17" s="15" customFormat="1">
      <c r="A95" s="14" t="str">
        <f t="shared" si="13"/>
        <v/>
      </c>
      <c r="B95" s="14" t="str">
        <f t="shared" si="7"/>
        <v/>
      </c>
      <c r="C95" s="14" t="str">
        <f t="shared" si="8"/>
        <v/>
      </c>
      <c r="D95" s="14" t="str">
        <f t="shared" si="12"/>
        <v/>
      </c>
      <c r="E95" s="14" t="str">
        <f t="shared" si="9"/>
        <v/>
      </c>
      <c r="F95" s="232"/>
      <c r="G95" s="14"/>
      <c r="H95" s="233" t="str">
        <f t="shared" ca="1" si="10"/>
        <v/>
      </c>
      <c r="I95" s="14" t="str">
        <f t="shared" ca="1" si="11"/>
        <v/>
      </c>
      <c r="J95" s="14"/>
      <c r="K95" s="15" t="str">
        <f>IF(CIDB!F6="Not Comply",MAX($K$4:K94)+1,"")</f>
        <v/>
      </c>
      <c r="L95" s="15" t="str">
        <f>IF(CIDB!F6="Not Comply",T(CIDB!K6)&amp;"♦"&amp;T(CIDB!B6)&amp;"♦"&amp;T(CIDB!G6)&amp;"♦"&amp;T(CIDB!H6),"")</f>
        <v/>
      </c>
      <c r="Q95" s="15" t="str">
        <f>IFERROR(INDEX($L$5:$L$657,MATCH(ROWS($Q$5:Q95),$K$5:$K$657,0)),"")</f>
        <v/>
      </c>
    </row>
    <row r="96" spans="1:17" s="15" customFormat="1">
      <c r="A96" s="14" t="str">
        <f t="shared" si="13"/>
        <v/>
      </c>
      <c r="B96" s="14" t="str">
        <f t="shared" si="7"/>
        <v/>
      </c>
      <c r="C96" s="14" t="str">
        <f t="shared" si="8"/>
        <v/>
      </c>
      <c r="D96" s="14" t="str">
        <f t="shared" si="12"/>
        <v/>
      </c>
      <c r="E96" s="14" t="str">
        <f t="shared" si="9"/>
        <v/>
      </c>
      <c r="F96" s="232"/>
      <c r="G96" s="14"/>
      <c r="H96" s="233" t="str">
        <f t="shared" ca="1" si="10"/>
        <v/>
      </c>
      <c r="I96" s="14" t="str">
        <f t="shared" ca="1" si="11"/>
        <v/>
      </c>
      <c r="J96" s="14"/>
      <c r="K96" s="15" t="str">
        <f>IF(CIDB!F7="Not Comply",MAX($K$4:K95)+1,"")</f>
        <v/>
      </c>
      <c r="L96" s="15" t="str">
        <f>IF(CIDB!F7="Not Comply",T(CIDB!K7)&amp;"♦"&amp;T(CIDB!B7)&amp;"♦"&amp;T(CIDB!G7)&amp;"♦"&amp;T(CIDB!H7),"")</f>
        <v/>
      </c>
      <c r="Q96" s="15" t="str">
        <f>IFERROR(INDEX($L$5:$L$657,MATCH(ROWS($Q$5:Q96),$K$5:$K$657,0)),"")</f>
        <v/>
      </c>
    </row>
    <row r="97" spans="1:17" s="15" customFormat="1">
      <c r="A97" s="14" t="str">
        <f t="shared" si="13"/>
        <v/>
      </c>
      <c r="B97" s="14" t="str">
        <f t="shared" si="7"/>
        <v/>
      </c>
      <c r="C97" s="14" t="str">
        <f t="shared" si="8"/>
        <v/>
      </c>
      <c r="D97" s="14" t="str">
        <f t="shared" si="12"/>
        <v/>
      </c>
      <c r="E97" s="14" t="str">
        <f t="shared" si="9"/>
        <v/>
      </c>
      <c r="F97" s="232"/>
      <c r="G97" s="14"/>
      <c r="H97" s="233" t="str">
        <f t="shared" ca="1" si="10"/>
        <v/>
      </c>
      <c r="I97" s="14" t="str">
        <f t="shared" ca="1" si="11"/>
        <v/>
      </c>
      <c r="J97" s="14"/>
      <c r="K97" s="15" t="str">
        <f>IF(CIDB!F8="Not Comply",MAX($K$4:K96)+1,"")</f>
        <v/>
      </c>
      <c r="L97" s="15" t="str">
        <f>IF(CIDB!F8="Not Comply",T(CIDB!K8)&amp;"♦"&amp;T(CIDB!B8)&amp;"♦"&amp;T(CIDB!G8)&amp;"♦"&amp;T(CIDB!H8),"")</f>
        <v/>
      </c>
      <c r="Q97" s="15" t="str">
        <f>IFERROR(INDEX($L$5:$L$657,MATCH(ROWS($Q$5:Q97),$K$5:$K$657,0)),"")</f>
        <v/>
      </c>
    </row>
    <row r="98" spans="1:17" s="15" customFormat="1">
      <c r="A98" s="14" t="str">
        <f t="shared" si="13"/>
        <v/>
      </c>
      <c r="B98" s="14" t="str">
        <f t="shared" si="7"/>
        <v/>
      </c>
      <c r="C98" s="14" t="str">
        <f t="shared" si="8"/>
        <v/>
      </c>
      <c r="D98" s="14" t="str">
        <f t="shared" si="12"/>
        <v/>
      </c>
      <c r="E98" s="14" t="str">
        <f t="shared" si="9"/>
        <v/>
      </c>
      <c r="F98" s="232"/>
      <c r="G98" s="14"/>
      <c r="H98" s="233" t="str">
        <f t="shared" ca="1" si="10"/>
        <v/>
      </c>
      <c r="I98" s="14" t="str">
        <f t="shared" ca="1" si="11"/>
        <v/>
      </c>
      <c r="J98" s="14"/>
      <c r="K98" s="15" t="str">
        <f>IF(CIDB!F9="Not Comply",MAX($K$4:K97)+1,"")</f>
        <v/>
      </c>
      <c r="L98" s="15" t="str">
        <f>IF(CIDB!F9="Not Comply",T(CIDB!K9)&amp;"♦"&amp;T(CIDB!B9)&amp;"♦"&amp;T(CIDB!G9)&amp;"♦"&amp;T(CIDB!H9),"")</f>
        <v/>
      </c>
      <c r="Q98" s="15" t="str">
        <f>IFERROR(INDEX($L$5:$L$657,MATCH(ROWS($Q$5:Q98),$K$5:$K$657,0)),"")</f>
        <v/>
      </c>
    </row>
    <row r="99" spans="1:17" s="15" customFormat="1">
      <c r="A99" s="14" t="str">
        <f t="shared" si="13"/>
        <v/>
      </c>
      <c r="B99" s="14" t="str">
        <f t="shared" si="7"/>
        <v/>
      </c>
      <c r="C99" s="14" t="str">
        <f t="shared" si="8"/>
        <v/>
      </c>
      <c r="D99" s="14" t="str">
        <f t="shared" si="12"/>
        <v/>
      </c>
      <c r="E99" s="14" t="str">
        <f t="shared" si="9"/>
        <v/>
      </c>
      <c r="F99" s="232"/>
      <c r="G99" s="14"/>
      <c r="H99" s="233" t="str">
        <f t="shared" ca="1" si="10"/>
        <v/>
      </c>
      <c r="I99" s="14" t="str">
        <f t="shared" ca="1" si="11"/>
        <v/>
      </c>
      <c r="J99" s="14"/>
      <c r="K99" s="15" t="str">
        <f>IF(CIDB!F10="Not Comply",MAX($K$4:K98)+1,"")</f>
        <v/>
      </c>
      <c r="L99" s="15" t="str">
        <f>IF(CIDB!F10="Not Comply",T(CIDB!K10)&amp;"♦"&amp;T(CIDB!B10)&amp;"♦"&amp;T(CIDB!G10)&amp;"♦"&amp;T(CIDB!H10),"")</f>
        <v/>
      </c>
      <c r="Q99" s="15" t="str">
        <f>IFERROR(INDEX($L$5:$L$657,MATCH(ROWS($Q$5:Q99),$K$5:$K$657,0)),"")</f>
        <v/>
      </c>
    </row>
    <row r="100" spans="1:17" s="15" customFormat="1">
      <c r="A100" s="14" t="str">
        <f t="shared" si="13"/>
        <v/>
      </c>
      <c r="B100" s="14" t="str">
        <f t="shared" si="7"/>
        <v/>
      </c>
      <c r="C100" s="14" t="str">
        <f t="shared" si="8"/>
        <v/>
      </c>
      <c r="D100" s="14" t="str">
        <f t="shared" si="12"/>
        <v/>
      </c>
      <c r="E100" s="14" t="str">
        <f t="shared" si="9"/>
        <v/>
      </c>
      <c r="F100" s="232"/>
      <c r="G100" s="14"/>
      <c r="H100" s="233" t="str">
        <f t="shared" ca="1" si="10"/>
        <v/>
      </c>
      <c r="I100" s="14" t="str">
        <f t="shared" ca="1" si="11"/>
        <v/>
      </c>
      <c r="J100" s="14"/>
      <c r="K100" s="15" t="str">
        <f>IF(CIDB!F11="Not Comply",MAX($K$4:K99)+1,"")</f>
        <v/>
      </c>
      <c r="L100" s="15" t="str">
        <f>IF(CIDB!F11="Not Comply",T(CIDB!K11)&amp;"♦"&amp;T(CIDB!B11)&amp;"♦"&amp;T(CIDB!G11)&amp;"♦"&amp;T(CIDB!H11),"")</f>
        <v/>
      </c>
      <c r="Q100" s="15" t="str">
        <f>IFERROR(INDEX($L$5:$L$657,MATCH(ROWS($Q$5:Q100),$K$5:$K$657,0)),"")</f>
        <v/>
      </c>
    </row>
    <row r="101" spans="1:17" s="15" customFormat="1">
      <c r="A101" s="14" t="str">
        <f t="shared" si="13"/>
        <v/>
      </c>
      <c r="B101" s="14" t="str">
        <f t="shared" si="7"/>
        <v/>
      </c>
      <c r="C101" s="14" t="str">
        <f t="shared" si="8"/>
        <v/>
      </c>
      <c r="D101" s="14" t="str">
        <f t="shared" si="12"/>
        <v/>
      </c>
      <c r="E101" s="14" t="str">
        <f t="shared" si="9"/>
        <v/>
      </c>
      <c r="F101" s="232"/>
      <c r="G101" s="14"/>
      <c r="H101" s="233" t="str">
        <f t="shared" ca="1" si="10"/>
        <v/>
      </c>
      <c r="I101" s="14" t="str">
        <f t="shared" ca="1" si="11"/>
        <v/>
      </c>
      <c r="J101" s="14"/>
      <c r="K101" s="15" t="str">
        <f>IF(CIDB!F12="Not Comply",MAX($K$4:K100)+1,"")</f>
        <v/>
      </c>
      <c r="L101" s="15" t="str">
        <f>IF(CIDB!F12="Not Comply",T(CIDB!K12)&amp;"♦"&amp;T(CIDB!B12)&amp;"♦"&amp;T(CIDB!G12)&amp;"♦"&amp;T(CIDB!H12),"")</f>
        <v/>
      </c>
      <c r="Q101" s="15" t="str">
        <f>IFERROR(INDEX($L$5:$L$657,MATCH(ROWS($Q$5:Q101),$K$5:$K$657,0)),"")</f>
        <v/>
      </c>
    </row>
    <row r="102" spans="1:17" s="15" customFormat="1">
      <c r="A102" s="14" t="str">
        <f t="shared" si="13"/>
        <v/>
      </c>
      <c r="B102" s="14" t="str">
        <f t="shared" si="7"/>
        <v/>
      </c>
      <c r="C102" s="14" t="str">
        <f t="shared" si="8"/>
        <v/>
      </c>
      <c r="D102" s="14" t="str">
        <f t="shared" si="12"/>
        <v/>
      </c>
      <c r="E102" s="14" t="str">
        <f t="shared" si="9"/>
        <v/>
      </c>
      <c r="F102" s="232"/>
      <c r="G102" s="14"/>
      <c r="H102" s="233" t="str">
        <f t="shared" ca="1" si="10"/>
        <v/>
      </c>
      <c r="I102" s="14" t="str">
        <f t="shared" ca="1" si="11"/>
        <v/>
      </c>
      <c r="J102" s="14"/>
      <c r="K102" s="15" t="str">
        <f>IF(CIDB!F13="Not Comply",MAX($K$4:K101)+1,"")</f>
        <v/>
      </c>
      <c r="L102" s="15" t="str">
        <f>IF(CIDB!F13="Not Comply",T(CIDB!K13)&amp;"♦"&amp;T(CIDB!B13)&amp;"♦"&amp;T(CIDB!G13)&amp;"♦"&amp;T(CIDB!H13),"")</f>
        <v/>
      </c>
      <c r="Q102" s="15" t="str">
        <f>IFERROR(INDEX($L$5:$L$657,MATCH(ROWS($Q$5:Q102),$K$5:$K$657,0)),"")</f>
        <v/>
      </c>
    </row>
    <row r="103" spans="1:17" s="15" customFormat="1">
      <c r="A103" s="14" t="str">
        <f t="shared" si="13"/>
        <v/>
      </c>
      <c r="B103" s="14" t="str">
        <f t="shared" si="7"/>
        <v/>
      </c>
      <c r="C103" s="14" t="str">
        <f t="shared" si="8"/>
        <v/>
      </c>
      <c r="D103" s="14" t="str">
        <f t="shared" si="12"/>
        <v/>
      </c>
      <c r="E103" s="14" t="str">
        <f t="shared" si="9"/>
        <v/>
      </c>
      <c r="F103" s="232"/>
      <c r="G103" s="14"/>
      <c r="H103" s="233" t="str">
        <f t="shared" ca="1" si="10"/>
        <v/>
      </c>
      <c r="I103" s="14" t="str">
        <f t="shared" ca="1" si="11"/>
        <v/>
      </c>
      <c r="J103" s="14"/>
      <c r="K103" s="15" t="str">
        <f>IF(CIDB!F14="Not Comply",MAX($K$4:K102)+1,"")</f>
        <v/>
      </c>
      <c r="L103" s="15" t="str">
        <f>IF(CIDB!F14="Not Comply",T(CIDB!K14)&amp;"♦"&amp;T(CIDB!B14)&amp;"♦"&amp;T(CIDB!G14)&amp;"♦"&amp;T(CIDB!H14),"")</f>
        <v/>
      </c>
      <c r="Q103" s="15" t="str">
        <f>IFERROR(INDEX($L$5:$L$657,MATCH(ROWS($Q$5:Q103),$K$5:$K$657,0)),"")</f>
        <v/>
      </c>
    </row>
    <row r="104" spans="1:17" s="15" customFormat="1">
      <c r="A104" s="14" t="str">
        <f t="shared" si="13"/>
        <v/>
      </c>
      <c r="B104" s="14" t="str">
        <f t="shared" si="7"/>
        <v/>
      </c>
      <c r="C104" s="14" t="str">
        <f t="shared" si="8"/>
        <v/>
      </c>
      <c r="D104" s="14" t="str">
        <f t="shared" si="12"/>
        <v/>
      </c>
      <c r="E104" s="14" t="str">
        <f t="shared" si="9"/>
        <v/>
      </c>
      <c r="F104" s="232"/>
      <c r="G104" s="14"/>
      <c r="H104" s="233" t="str">
        <f t="shared" ca="1" si="10"/>
        <v/>
      </c>
      <c r="I104" s="14" t="str">
        <f t="shared" ca="1" si="11"/>
        <v/>
      </c>
      <c r="J104" s="14"/>
      <c r="K104" s="15" t="str">
        <f>IF(CIDB!F15="Not Comply",MAX($K$4:K103)+1,"")</f>
        <v/>
      </c>
      <c r="L104" s="15" t="str">
        <f>IF(CIDB!F15="Not Comply",T(CIDB!K15)&amp;"♦"&amp;T(CIDB!B15)&amp;"♦"&amp;T(CIDB!G15)&amp;"♦"&amp;T(CIDB!H15),"")</f>
        <v/>
      </c>
      <c r="Q104" s="15" t="str">
        <f>IFERROR(INDEX($L$5:$L$657,MATCH(ROWS($Q$5:Q104),$K$5:$K$657,0)),"")</f>
        <v/>
      </c>
    </row>
    <row r="105" spans="1:17">
      <c r="K105" t="str">
        <f>IF(CIDB!F16="Not Comply",MAX($K$4:K104)+1,"")</f>
        <v/>
      </c>
      <c r="L105" t="str">
        <f>IF(CIDB!F16="Not Comply",T(CIDB!K16)&amp;"♦"&amp;T(CIDB!B16)&amp;"♦"&amp;T(CIDB!G16)&amp;"♦"&amp;T(CIDB!H16),"")</f>
        <v/>
      </c>
    </row>
    <row r="106" spans="1:17">
      <c r="K106" t="str">
        <f>IF(CIDB!F17="Not Comply",MAX($K$4:K105)+1,"")</f>
        <v/>
      </c>
      <c r="L106" t="str">
        <f>IF(CIDB!F17="Not Comply",T(CIDB!K17)&amp;"♦"&amp;T(CIDB!B17)&amp;"♦"&amp;T(CIDB!G17)&amp;"♦"&amp;T(CIDB!H17),"")</f>
        <v/>
      </c>
    </row>
    <row r="107" spans="1:17">
      <c r="K107" t="str">
        <f>IF(CIDB!F18="Not Comply",MAX($K$4:K106)+1,"")</f>
        <v/>
      </c>
      <c r="L107" t="str">
        <f>IF(CIDB!F18="Not Comply",T(CIDB!K18)&amp;"♦"&amp;T(CIDB!B18)&amp;"♦"&amp;T(CIDB!G18)&amp;"♦"&amp;T(CIDB!H18),"")</f>
        <v/>
      </c>
    </row>
    <row r="108" spans="1:17">
      <c r="K108" t="str">
        <f>IF(CIDB!F19="Not Comply",MAX($K$4:K107)+1,"")</f>
        <v/>
      </c>
      <c r="L108" t="str">
        <f>IF(CIDB!F19="Not Comply",T(CIDB!K19)&amp;"♦"&amp;T(CIDB!B19)&amp;"♦"&amp;T(CIDB!G19)&amp;"♦"&amp;T(CIDB!H19),"")</f>
        <v/>
      </c>
    </row>
    <row r="109" spans="1:17">
      <c r="K109" t="str">
        <f>IF(CIDB!F20="Not Comply",MAX($K$4:K108)+1,"")</f>
        <v/>
      </c>
      <c r="L109" t="str">
        <f>IF(CIDB!F20="Not Comply",T(CIDB!K20)&amp;"♦"&amp;T(CIDB!B20)&amp;"♦"&amp;T(CIDB!G20)&amp;"♦"&amp;T(CIDB!H20),"")</f>
        <v/>
      </c>
    </row>
    <row r="110" spans="1:17">
      <c r="K110" t="str">
        <f>IF(CIDB!F21="Not Comply",MAX($K$4:K109)+1,"")</f>
        <v/>
      </c>
      <c r="L110" t="str">
        <f>IF(CIDB!F21="Not Comply",T(CIDB!K21)&amp;"♦"&amp;T(CIDB!B21)&amp;"♦"&amp;T(CIDB!G21)&amp;"♦"&amp;T(CIDB!H21),"")</f>
        <v/>
      </c>
    </row>
    <row r="111" spans="1:17">
      <c r="K111" t="str">
        <f>IF(CIDB!F22="Not Comply",MAX($K$4:K110)+1,"")</f>
        <v/>
      </c>
      <c r="L111" t="str">
        <f>IF(CIDB!F22="Not Comply",T(CIDB!K22)&amp;"♦"&amp;T(CIDB!B22)&amp;"♦"&amp;T(CIDB!G22)&amp;"♦"&amp;T(CIDB!H22),"")</f>
        <v/>
      </c>
    </row>
    <row r="112" spans="1:17">
      <c r="K112" t="str">
        <f>IF(CIDB!F23="Not Comply",MAX($K$4:K111)+1,"")</f>
        <v/>
      </c>
      <c r="L112" t="str">
        <f>IF(CIDB!F23="Not Comply",T(CIDB!K23)&amp;"♦"&amp;T(CIDB!B23)&amp;"♦"&amp;T(CIDB!G23)&amp;"♦"&amp;T(CIDB!H23),"")</f>
        <v/>
      </c>
    </row>
    <row r="113" spans="11:12">
      <c r="K113" t="str">
        <f>IF(CIDB!F24="Not Comply",MAX($K$4:K112)+1,"")</f>
        <v/>
      </c>
      <c r="L113" t="str">
        <f>IF(CIDB!F24="Not Comply",T(CIDB!K24)&amp;"♦"&amp;T(CIDB!B24)&amp;"♦"&amp;T(CIDB!G24)&amp;"♦"&amp;T(CIDB!H24),"")</f>
        <v/>
      </c>
    </row>
    <row r="114" spans="11:12">
      <c r="K114" t="str">
        <f>IF(CIDB!F25="Not Comply",MAX($K$4:K113)+1,"")</f>
        <v/>
      </c>
      <c r="L114" t="str">
        <f>IF(CIDB!F25="Not Comply",T(CIDB!K25)&amp;"♦"&amp;T(CIDB!B25)&amp;"♦"&amp;T(CIDB!G25)&amp;"♦"&amp;T(CIDB!H25),"")</f>
        <v/>
      </c>
    </row>
    <row r="115" spans="11:12">
      <c r="K115" t="str">
        <f>IF(CIDB!F26="Not Comply",MAX($K$4:K114)+1,"")</f>
        <v/>
      </c>
      <c r="L115" t="str">
        <f>IF(CIDB!F26="Not Comply",T(CIDB!K26)&amp;"♦"&amp;T(CIDB!B26)&amp;"♦"&amp;T(CIDB!G26)&amp;"♦"&amp;T(CIDB!H26),"")</f>
        <v/>
      </c>
    </row>
    <row r="116" spans="11:12">
      <c r="K116" t="str">
        <f>IF(CIDB!F27="Not Comply",MAX($K$4:K115)+1,"")</f>
        <v/>
      </c>
      <c r="L116" t="str">
        <f>IF(CIDB!F27="Not Comply",T(CIDB!K27)&amp;"♦"&amp;T(CIDB!B27)&amp;"♦"&amp;T(CIDB!G27)&amp;"♦"&amp;T(CIDB!H27),"")</f>
        <v/>
      </c>
    </row>
    <row r="117" spans="11:12">
      <c r="K117" t="str">
        <f>IF(CIDB!F28="Not Comply",MAX($K$4:K116)+1,"")</f>
        <v/>
      </c>
      <c r="L117" t="str">
        <f>IF(CIDB!F28="Not Comply",T(CIDB!K28)&amp;"♦"&amp;T(CIDB!B28)&amp;"♦"&amp;T(CIDB!G28)&amp;"♦"&amp;T(CIDB!H28),"")</f>
        <v/>
      </c>
    </row>
    <row r="118" spans="11:12">
      <c r="K118" t="str">
        <f>IF(CIDB!F29="Not Comply",MAX($K$4:K117)+1,"")</f>
        <v/>
      </c>
      <c r="L118" t="str">
        <f>IF(CIDB!F29="Not Comply",T(CIDB!K29)&amp;"♦"&amp;T(CIDB!B29)&amp;"♦"&amp;T(CIDB!G29)&amp;"♦"&amp;T(CIDB!H29),"")</f>
        <v/>
      </c>
    </row>
    <row r="119" spans="11:12">
      <c r="K119" t="str">
        <f>IF(CIDB!F30="Not Comply",MAX($K$4:K118)+1,"")</f>
        <v/>
      </c>
      <c r="L119" t="str">
        <f>IF(CIDB!F30="Not Comply",T(CIDB!K30)&amp;"♦"&amp;T(CIDB!B30)&amp;"♦"&amp;T(CIDB!G30)&amp;"♦"&amp;T(CIDB!H30),"")</f>
        <v/>
      </c>
    </row>
    <row r="120" spans="11:12">
      <c r="K120" t="str">
        <f>IF(CIDB!F31="Not Comply",MAX($K$4:K119)+1,"")</f>
        <v/>
      </c>
      <c r="L120" t="str">
        <f>IF(CIDB!F31="Not Comply",T(CIDB!K31)&amp;"♦"&amp;T(CIDB!B31)&amp;"♦"&amp;T(CIDB!G31)&amp;"♦"&amp;T(CIDB!H31),"")</f>
        <v/>
      </c>
    </row>
    <row r="121" spans="11:12">
      <c r="K121" t="str">
        <f>IF(CIDB!F32="Not Comply",MAX($K$4:K120)+1,"")</f>
        <v/>
      </c>
      <c r="L121" t="str">
        <f>IF(CIDB!F32="Not Comply",T(CIDB!K32)&amp;"♦"&amp;T(CIDB!B32)&amp;"♦"&amp;T(CIDB!G32)&amp;"♦"&amp;T(CIDB!H32),"")</f>
        <v/>
      </c>
    </row>
    <row r="122" spans="11:12">
      <c r="K122" t="str">
        <f>IF(CIDB!F33="Not Comply",MAX($K$4:K121)+1,"")</f>
        <v/>
      </c>
      <c r="L122" t="str">
        <f>IF(CIDB!F33="Not Comply",T(CIDB!K33)&amp;"♦"&amp;T(CIDB!B33)&amp;"♦"&amp;T(CIDB!G33)&amp;"♦"&amp;T(CIDB!H33),"")</f>
        <v/>
      </c>
    </row>
    <row r="123" spans="11:12">
      <c r="K123" t="str">
        <f>IF(CIDB!F34="Not Comply",MAX($K$4:K122)+1,"")</f>
        <v/>
      </c>
      <c r="L123" t="str">
        <f>IF(CIDB!F34="Not Comply",T(CIDB!K34)&amp;"♦"&amp;T(CIDB!B34)&amp;"♦"&amp;T(CIDB!G34)&amp;"♦"&amp;T(CIDB!H34),"")</f>
        <v/>
      </c>
    </row>
    <row r="124" spans="11:12">
      <c r="K124" t="str">
        <f>IF(CIDB!F35="Not Comply",MAX($K$4:K123)+1,"")</f>
        <v/>
      </c>
      <c r="L124" t="str">
        <f>IF(CIDB!F35="Not Comply",T(CIDB!K35)&amp;"♦"&amp;T(CIDB!B35)&amp;"♦"&amp;T(CIDB!G35)&amp;"♦"&amp;T(CIDB!H35),"")</f>
        <v/>
      </c>
    </row>
    <row r="125" spans="11:12">
      <c r="K125" t="str">
        <f>IF(Pesticides!F4="Not Comply",MAX($K$4:K124)+1,"")</f>
        <v/>
      </c>
      <c r="L125" t="str">
        <f>IF(Pesticides!F4="Not Comply",T(Pesticides!K4)&amp;"♦"&amp;T(Pesticides!B4)&amp;"♦"&amp;T(Pesticides!G4)&amp;"♦"&amp;T(Pesticides!H4),"")</f>
        <v/>
      </c>
    </row>
    <row r="126" spans="11:12">
      <c r="K126" t="str">
        <f>IF(Pesticides!F5="Not Comply",MAX($K$4:K125)+1,"")</f>
        <v/>
      </c>
      <c r="L126" t="str">
        <f>IF(Pesticides!F5="Not Comply",T(Pesticides!K5)&amp;"♦"&amp;T(Pesticides!B5)&amp;"♦"&amp;T(Pesticides!G5)&amp;"♦"&amp;T(Pesticides!H5),"")</f>
        <v/>
      </c>
    </row>
    <row r="127" spans="11:12">
      <c r="K127" t="str">
        <f>IF(Pesticides!F6="Not Comply",MAX($K$4:K126)+1,"")</f>
        <v/>
      </c>
      <c r="L127" t="str">
        <f>IF(Pesticides!F6="Not Comply",T(Pesticides!K6)&amp;"♦"&amp;T(Pesticides!B6)&amp;"♦"&amp;T(Pesticides!G6)&amp;"♦"&amp;T(Pesticides!H6),"")</f>
        <v/>
      </c>
    </row>
    <row r="128" spans="11:12">
      <c r="K128" t="str">
        <f>IF(Pesticides!F7="Not Comply",MAX($K$4:K127)+1,"")</f>
        <v/>
      </c>
      <c r="L128" t="str">
        <f>IF(Pesticides!F7="Not Comply",T(Pesticides!K7)&amp;"♦"&amp;T(Pesticides!B7)&amp;"♦"&amp;T(Pesticides!G7)&amp;"♦"&amp;T(Pesticides!H7),"")</f>
        <v/>
      </c>
    </row>
    <row r="129" spans="11:12">
      <c r="K129" t="str">
        <f>IF(Pesticides!F8="Not Comply",MAX($K$4:K128)+1,"")</f>
        <v/>
      </c>
      <c r="L129" t="str">
        <f>IF(Pesticides!F8="Not Comply",T(Pesticides!K8)&amp;"♦"&amp;T(Pesticides!B8)&amp;"♦"&amp;T(Pesticides!G8)&amp;"♦"&amp;T(Pesticides!H8),"")</f>
        <v/>
      </c>
    </row>
    <row r="130" spans="11:12">
      <c r="K130" t="str">
        <f>IF(Pesticides!F9="Not Comply",MAX($K$4:K129)+1,"")</f>
        <v/>
      </c>
      <c r="L130" t="str">
        <f>IF(Pesticides!F9="Not Comply",T(Pesticides!K9)&amp;"♦"&amp;T(Pesticides!B9)&amp;"♦"&amp;T(Pesticides!G9)&amp;"♦"&amp;T(Pesticides!H9),"")</f>
        <v/>
      </c>
    </row>
    <row r="131" spans="11:12">
      <c r="K131" t="str">
        <f>IF(Pesticides!F10="Not Comply",MAX($K$4:K130)+1,"")</f>
        <v/>
      </c>
      <c r="L131" t="str">
        <f>IF(Pesticides!F10="Not Comply",T(Pesticides!K10)&amp;"♦"&amp;T(Pesticides!B10)&amp;"♦"&amp;T(Pesticides!G10)&amp;"♦"&amp;T(Pesticides!H10),"")</f>
        <v/>
      </c>
    </row>
    <row r="132" spans="11:12">
      <c r="K132" t="str">
        <f>IF(Pesticides!F11="Not Comply",MAX($K$4:K131)+1,"")</f>
        <v/>
      </c>
      <c r="L132" t="str">
        <f>IF(Pesticides!F11="Not Comply",T(Pesticides!K11)&amp;"♦"&amp;T(Pesticides!B11)&amp;"♦"&amp;T(Pesticides!G11)&amp;"♦"&amp;T(Pesticides!H11),"")</f>
        <v/>
      </c>
    </row>
    <row r="133" spans="11:12">
      <c r="K133" t="str">
        <f>IF(Pesticides!F12="Not Comply",MAX($K$4:K132)+1,"")</f>
        <v/>
      </c>
      <c r="L133" t="str">
        <f>IF(Pesticides!F12="Not Comply",T(Pesticides!K12)&amp;"♦"&amp;T(Pesticides!B12)&amp;"♦"&amp;T(Pesticides!G12)&amp;"♦"&amp;T(Pesticides!H12),"")</f>
        <v/>
      </c>
    </row>
    <row r="134" spans="11:12">
      <c r="K134" t="str">
        <f>IF(Pesticides!F13="Not Comply",MAX($K$4:K133)+1,"")</f>
        <v/>
      </c>
      <c r="L134" t="str">
        <f>IF(Pesticides!F13="Not Comply",T(Pesticides!K13)&amp;"♦"&amp;T(Pesticides!B13)&amp;"♦"&amp;T(Pesticides!G13)&amp;"♦"&amp;T(Pesticides!H13),"")</f>
        <v/>
      </c>
    </row>
    <row r="135" spans="11:12">
      <c r="K135" t="str">
        <f>IF(Pesticides!F14="Not Comply",MAX($K$4:K134)+1,"")</f>
        <v/>
      </c>
      <c r="L135" t="str">
        <f>IF(Pesticides!F14="Not Comply",T(Pesticides!K14)&amp;"♦"&amp;T(Pesticides!B14)&amp;"♦"&amp;T(Pesticides!G14)&amp;"♦"&amp;T(Pesticides!H14),"")</f>
        <v/>
      </c>
    </row>
    <row r="136" spans="11:12">
      <c r="K136" t="str">
        <f>IF(Pesticides!F15="Not Comply",MAX($K$4:K135)+1,"")</f>
        <v/>
      </c>
      <c r="L136" t="str">
        <f>IF(Pesticides!F15="Not Comply",T(Pesticides!K15)&amp;"♦"&amp;T(Pesticides!B15)&amp;"♦"&amp;T(Pesticides!G15)&amp;"♦"&amp;T(Pesticides!H15),"")</f>
        <v/>
      </c>
    </row>
    <row r="137" spans="11:12">
      <c r="K137" t="str">
        <f>IF(Pesticides!F16="Not Comply",MAX($K$4:K136)+1,"")</f>
        <v/>
      </c>
      <c r="L137" t="str">
        <f>IF(Pesticides!F16="Not Comply",T(Pesticides!K16)&amp;"♦"&amp;T(Pesticides!B16)&amp;"♦"&amp;T(Pesticides!G16)&amp;"♦"&amp;T(Pesticides!H16),"")</f>
        <v/>
      </c>
    </row>
    <row r="138" spans="11:12">
      <c r="K138" t="str">
        <f>IF(Pesticides!F17="Not Comply",MAX($K$4:K137)+1,"")</f>
        <v/>
      </c>
      <c r="L138" t="str">
        <f>IF(Pesticides!F17="Not Comply",T(Pesticides!K17)&amp;"♦"&amp;T(Pesticides!B17)&amp;"♦"&amp;T(Pesticides!G17)&amp;"♦"&amp;T(Pesticides!H17),"")</f>
        <v/>
      </c>
    </row>
    <row r="139" spans="11:12">
      <c r="K139" t="str">
        <f>IF(Pesticides!F18="Not Comply",MAX($K$4:K138)+1,"")</f>
        <v/>
      </c>
      <c r="L139" t="str">
        <f>IF(Pesticides!F18="Not Comply",T(Pesticides!K18)&amp;"♦"&amp;T(Pesticides!B18)&amp;"♦"&amp;T(Pesticides!G18)&amp;"♦"&amp;T(Pesticides!H18),"")</f>
        <v/>
      </c>
    </row>
    <row r="140" spans="11:12">
      <c r="K140" t="str">
        <f>IF(Pesticides!F19="Not Comply",MAX($K$4:K139)+1,"")</f>
        <v/>
      </c>
      <c r="L140" t="str">
        <f>IF(Pesticides!F19="Not Comply",T(Pesticides!K19)&amp;"♦"&amp;T(Pesticides!B19)&amp;"♦"&amp;T(Pesticides!G19)&amp;"♦"&amp;T(Pesticides!H19),"")</f>
        <v/>
      </c>
    </row>
    <row r="141" spans="11:12">
      <c r="K141" t="str">
        <f>IF(Pesticides!F20="Not Comply",MAX($K$4:K140)+1,"")</f>
        <v/>
      </c>
      <c r="L141" t="str">
        <f>IF(Pesticides!F20="Not Comply",T(Pesticides!K20)&amp;"♦"&amp;T(Pesticides!B20)&amp;"♦"&amp;T(Pesticides!G20)&amp;"♦"&amp;T(Pesticides!H20),"")</f>
        <v/>
      </c>
    </row>
    <row r="142" spans="11:12">
      <c r="K142" t="str">
        <f>IF(FSA!F4="Not Comply",MAX($K$4:K141)+1,"")</f>
        <v/>
      </c>
      <c r="L142" t="str">
        <f>IF(FSA!F4="Not Comply",T(FSA!K4)&amp;"♦"&amp;T(FSA!B4)&amp;"♦"&amp;T(FSA!G4)&amp;"♦"&amp;T(FSA!H4),"")</f>
        <v/>
      </c>
    </row>
    <row r="143" spans="11:12">
      <c r="K143" t="str">
        <f>IF(FSA!F5="Not Comply",MAX($K$4:K142)+1,"")</f>
        <v/>
      </c>
      <c r="L143" t="str">
        <f>IF(FSA!F5="Not Comply",T(FSA!K5)&amp;"♦"&amp;T(FSA!B5)&amp;"♦"&amp;T(FSA!G5)&amp;"♦"&amp;T(FSA!H5),"")</f>
        <v/>
      </c>
    </row>
    <row r="144" spans="11:12">
      <c r="K144" t="str">
        <f>IF(FSA!F6="Not Comply",MAX($K$4:K143)+1,"")</f>
        <v/>
      </c>
      <c r="L144" t="str">
        <f>IF(FSA!F6="Not Comply",T(FSA!K6)&amp;"♦"&amp;T(FSA!B6)&amp;"♦"&amp;T(FSA!G6)&amp;"♦"&amp;T(FSA!H6),"")</f>
        <v/>
      </c>
    </row>
    <row r="145" spans="11:12">
      <c r="K145" t="str">
        <f>IF(FSA!F7="Not Comply",MAX($K$4:K144)+1,"")</f>
        <v/>
      </c>
      <c r="L145" t="str">
        <f>IF(FSA!F7="Not Comply",T(FSA!K7)&amp;"♦"&amp;T(FSA!B7)&amp;"♦"&amp;T(FSA!G7)&amp;"♦"&amp;T(FSA!H7),"")</f>
        <v/>
      </c>
    </row>
    <row r="146" spans="11:12">
      <c r="K146" t="str">
        <f>IF(FSA!F8="Not Comply",MAX($K$4:K145)+1,"")</f>
        <v/>
      </c>
      <c r="L146" t="str">
        <f>IF(FSA!F8="Not Comply",T(FSA!K8)&amp;"♦"&amp;T(FSA!B8)&amp;"♦"&amp;T(FSA!G8)&amp;"♦"&amp;T(FSA!H8),"")</f>
        <v/>
      </c>
    </row>
    <row r="147" spans="11:12">
      <c r="K147" t="str">
        <f>IF(FSA!F9="Not Comply",MAX($K$4:K146)+1,"")</f>
        <v/>
      </c>
      <c r="L147" t="str">
        <f>IF(FSA!F9="Not Comply",T(FSA!K9)&amp;"♦"&amp;T(FSA!B9)&amp;"♦"&amp;T(FSA!G9)&amp;"♦"&amp;T(FSA!H9),"")</f>
        <v/>
      </c>
    </row>
    <row r="148" spans="11:12">
      <c r="K148" t="str">
        <f>IF(FSA!F10="Not Comply",MAX($K$4:K147)+1,"")</f>
        <v/>
      </c>
      <c r="L148" t="str">
        <f>IF(FSA!F10="Not Comply",T(FSA!K10)&amp;"♦"&amp;T(FSA!B10)&amp;"♦"&amp;T(FSA!G10)&amp;"♦"&amp;T(FSA!H10),"")</f>
        <v/>
      </c>
    </row>
    <row r="149" spans="11:12">
      <c r="K149" t="str">
        <f>IF(FSA!F11="Not Comply",MAX($K$4:K148)+1,"")</f>
        <v/>
      </c>
      <c r="L149" t="str">
        <f>IF(FSA!F11="Not Comply",T(FSA!K11)&amp;"♦"&amp;T(FSA!B11)&amp;"♦"&amp;T(FSA!G11)&amp;"♦"&amp;T(FSA!H11),"")</f>
        <v/>
      </c>
    </row>
    <row r="150" spans="11:12">
      <c r="K150" t="str">
        <f>IF(FSA!F12="Not Comply",MAX($K$4:K149)+1,"")</f>
        <v/>
      </c>
      <c r="L150" t="str">
        <f>IF(FSA!F12="Not Comply",T(FSA!K12)&amp;"♦"&amp;T(FSA!B12)&amp;"♦"&amp;T(FSA!G12)&amp;"♦"&amp;T(FSA!H12),"")</f>
        <v/>
      </c>
    </row>
    <row r="151" spans="11:12">
      <c r="K151" t="str">
        <f>IF(FSA!F13="Not Comply",MAX($K$4:K150)+1,"")</f>
        <v/>
      </c>
      <c r="L151" t="str">
        <f>IF(FSA!F13="Not Comply",T(FSA!K13)&amp;"♦"&amp;T(FSA!B13)&amp;"♦"&amp;T(FSA!G13)&amp;"♦"&amp;T(FSA!H13),"")</f>
        <v/>
      </c>
    </row>
    <row r="152" spans="11:12">
      <c r="K152" t="str">
        <f>IF(FSA!F14="Not Comply",MAX($K$4:K151)+1,"")</f>
        <v/>
      </c>
      <c r="L152" t="str">
        <f>IF(FSA!F14="Not Comply",T(FSA!K14)&amp;"♦"&amp;T(FSA!B14)&amp;"♦"&amp;T(FSA!G14)&amp;"♦"&amp;T(FSA!H14),"")</f>
        <v/>
      </c>
    </row>
    <row r="153" spans="11:12">
      <c r="K153" t="str">
        <f>IF(FSA!F15="Not Comply",MAX($K$4:K152)+1,"")</f>
        <v/>
      </c>
      <c r="L153" t="str">
        <f>IF(FSA!F15="Not Comply",T(FSA!K15)&amp;"♦"&amp;T(FSA!B15)&amp;"♦"&amp;T(FSA!G15)&amp;"♦"&amp;T(FSA!H15),"")</f>
        <v/>
      </c>
    </row>
    <row r="154" spans="11:12">
      <c r="K154" t="str">
        <f>IF(FSA!F16="Not Comply",MAX($K$4:K153)+1,"")</f>
        <v/>
      </c>
      <c r="L154" t="str">
        <f>IF(FSA!F16="Not Comply",T(FSA!K16)&amp;"♦"&amp;T(FSA!B16)&amp;"♦"&amp;T(FSA!G16)&amp;"♦"&amp;T(FSA!H16),"")</f>
        <v/>
      </c>
    </row>
    <row r="155" spans="11:12">
      <c r="K155" t="str">
        <f>IF(FSA!F17="Not Comply",MAX($K$4:K154)+1,"")</f>
        <v/>
      </c>
      <c r="L155" t="str">
        <f>IF(FSA!F17="Not Comply",T(FSA!K17)&amp;"♦"&amp;T(FSA!B17)&amp;"♦"&amp;T(FSA!G17)&amp;"♦"&amp;T(FSA!H17),"")</f>
        <v/>
      </c>
    </row>
    <row r="156" spans="11:12">
      <c r="K156" t="str">
        <f>IF(FSA!F18="Not Comply",MAX($K$4:K155)+1,"")</f>
        <v/>
      </c>
      <c r="L156" t="str">
        <f>IF(FSA!F18="Not Comply",T(FSA!K18)&amp;"♦"&amp;T(FSA!B18)&amp;"♦"&amp;T(FSA!G18)&amp;"♦"&amp;T(FSA!H18),"")</f>
        <v/>
      </c>
    </row>
    <row r="157" spans="11:12">
      <c r="K157" t="str">
        <f>IF(FSA!F19="Not Comply",MAX($K$4:K156)+1,"")</f>
        <v/>
      </c>
      <c r="L157" t="str">
        <f>IF(FSA!F19="Not Comply",T(FSA!K19)&amp;"♦"&amp;T(FSA!B19)&amp;"♦"&amp;T(FSA!G19)&amp;"♦"&amp;T(FSA!H19),"")</f>
        <v/>
      </c>
    </row>
    <row r="158" spans="11:12">
      <c r="K158" t="str">
        <f>IF(FSA!F20="Not Comply",MAX($K$4:K157)+1,"")</f>
        <v/>
      </c>
      <c r="L158" t="str">
        <f>IF(FSA!F20="Not Comply",T(FSA!K20)&amp;"♦"&amp;T(FSA!B20)&amp;"♦"&amp;T(FSA!G20)&amp;"♦"&amp;T(FSA!H20),"")</f>
        <v/>
      </c>
    </row>
    <row r="159" spans="11:12">
      <c r="K159" t="str">
        <f>IF(FSA!F21="Not Comply",MAX($K$4:K158)+1,"")</f>
        <v/>
      </c>
      <c r="L159" t="str">
        <f>IF(FSA!F21="Not Comply",T(FSA!K21)&amp;"♦"&amp;T(FSA!B21)&amp;"♦"&amp;T(FSA!G21)&amp;"♦"&amp;T(FSA!H21),"")</f>
        <v/>
      </c>
    </row>
    <row r="160" spans="11:12">
      <c r="K160" t="str">
        <f>IF(FSA!F22="Not Comply",MAX($K$4:K159)+1,"")</f>
        <v/>
      </c>
      <c r="L160" t="str">
        <f>IF(FSA!F22="Not Comply",T(FSA!K22)&amp;"♦"&amp;T(FSA!B22)&amp;"♦"&amp;T(FSA!G22)&amp;"♦"&amp;T(FSA!H22),"")</f>
        <v/>
      </c>
    </row>
    <row r="161" spans="11:12">
      <c r="K161" t="str">
        <f>IF(FSA!F23="Not Comply",MAX($K$4:K160)+1,"")</f>
        <v/>
      </c>
      <c r="L161" t="str">
        <f>IF(FSA!F23="Not Comply",T(FSA!K23)&amp;"♦"&amp;T(FSA!B23)&amp;"♦"&amp;T(FSA!G23)&amp;"♦"&amp;T(FSA!H23),"")</f>
        <v/>
      </c>
    </row>
    <row r="162" spans="11:12">
      <c r="K162" t="str">
        <f>IF(FSA!F24="Not Comply",MAX($K$4:K161)+1,"")</f>
        <v/>
      </c>
      <c r="L162" t="str">
        <f>IF(FSA!F24="Not Comply",T(FSA!K24)&amp;"♦"&amp;T(FSA!B24)&amp;"♦"&amp;T(FSA!G24)&amp;"♦"&amp;T(FSA!H24),"")</f>
        <v/>
      </c>
    </row>
    <row r="163" spans="11:12">
      <c r="K163" t="str">
        <f>IF(FSA!F25="Not Comply",MAX($K$4:K162)+1,"")</f>
        <v/>
      </c>
      <c r="L163" t="str">
        <f>IF(FSA!F25="Not Comply",T(FSA!K25)&amp;"♦"&amp;T(FSA!B25)&amp;"♦"&amp;T(FSA!G25)&amp;"♦"&amp;T(FSA!H25),"")</f>
        <v/>
      </c>
    </row>
    <row r="164" spans="11:12">
      <c r="K164" t="str">
        <f>IF(FSA!F26="Not Comply",MAX($K$4:K163)+1,"")</f>
        <v/>
      </c>
      <c r="L164" t="str">
        <f>IF(FSA!F26="Not Comply",T(FSA!K26)&amp;"♦"&amp;T(FSA!B26)&amp;"♦"&amp;T(FSA!G26)&amp;"♦"&amp;T(FSA!H26),"")</f>
        <v/>
      </c>
    </row>
    <row r="165" spans="11:12">
      <c r="K165" t="str">
        <f>IF(FSA!F27="Not Comply",MAX($K$4:K164)+1,"")</f>
        <v/>
      </c>
      <c r="L165" t="str">
        <f>IF(FSA!F27="Not Comply",T(FSA!K27)&amp;"♦"&amp;T(FSA!B27)&amp;"♦"&amp;T(FSA!G27)&amp;"♦"&amp;T(FSA!H27),"")</f>
        <v/>
      </c>
    </row>
    <row r="166" spans="11:12">
      <c r="K166" t="str">
        <f>IF(FSA!F28="Not Comply",MAX($K$4:K165)+1,"")</f>
        <v/>
      </c>
      <c r="L166" t="str">
        <f>IF(FSA!F28="Not Comply",T(FSA!K28)&amp;"♦"&amp;T(FSA!B28)&amp;"♦"&amp;T(FSA!G28)&amp;"♦"&amp;T(FSA!H28),"")</f>
        <v/>
      </c>
    </row>
    <row r="167" spans="11:12">
      <c r="K167" t="str">
        <f>IF(FSA!F29="Not Comply",MAX($K$4:K166)+1,"")</f>
        <v/>
      </c>
      <c r="L167" t="str">
        <f>IF(FSA!F29="Not Comply",T(FSA!K29)&amp;"♦"&amp;T(FSA!B29)&amp;"♦"&amp;T(FSA!G29)&amp;"♦"&amp;T(FSA!H29),"")</f>
        <v/>
      </c>
    </row>
    <row r="168" spans="11:12">
      <c r="K168" t="str">
        <f>IF(FSA!F30="Not Comply",MAX($K$4:K167)+1,"")</f>
        <v/>
      </c>
      <c r="L168" t="str">
        <f>IF(FSA!F30="Not Comply",T(FSA!K30)&amp;"♦"&amp;T(FSA!B30)&amp;"♦"&amp;T(FSA!G30)&amp;"♦"&amp;T(FSA!H30),"")</f>
        <v/>
      </c>
    </row>
    <row r="169" spans="11:12">
      <c r="K169" t="str">
        <f>IF(FSA!F31="Not Comply",MAX($K$4:K168)+1,"")</f>
        <v/>
      </c>
      <c r="L169" t="str">
        <f>IF(FSA!F31="Not Comply",T(FSA!K31)&amp;"♦"&amp;T(FSA!B31)&amp;"♦"&amp;T(FSA!G31)&amp;"♦"&amp;T(FSA!H31),"")</f>
        <v/>
      </c>
    </row>
    <row r="170" spans="11:12">
      <c r="K170" t="str">
        <f>IF(sewerage!F4="Not Comply",MAX($K$4:K169)+1,"")</f>
        <v/>
      </c>
      <c r="L170" t="str">
        <f>IF(sewerage!F4="Not Comply",T(sewerage!K4)&amp;"♦"&amp;T(sewerage!B4)&amp;"♦"&amp;T(sewerage!G4)&amp;"♦"&amp;T(sewerage!H4),"")</f>
        <v/>
      </c>
    </row>
    <row r="171" spans="11:12">
      <c r="K171" t="str">
        <f>IF(sewerage!F5="Not Comply",MAX($K$4:K170)+1,"")</f>
        <v/>
      </c>
      <c r="L171" t="str">
        <f>IF(sewerage!F5="Not Comply",T(sewerage!K5)&amp;"♦"&amp;T(sewerage!B5)&amp;"♦"&amp;T(sewerage!G5)&amp;"♦"&amp;T(sewerage!H5),"")</f>
        <v/>
      </c>
    </row>
    <row r="172" spans="11:12">
      <c r="K172" t="str">
        <f>IF(sewerage!F6="Not Comply",MAX($K$4:K171)+1,"")</f>
        <v/>
      </c>
      <c r="L172" t="str">
        <f>IF(sewerage!F6="Not Comply",T(sewerage!K6)&amp;"♦"&amp;T(sewerage!B6)&amp;"♦"&amp;T(sewerage!G6)&amp;"♦"&amp;T(sewerage!H6),"")</f>
        <v/>
      </c>
    </row>
    <row r="173" spans="11:12">
      <c r="K173" t="str">
        <f>IF(sewerage!F7="Not Comply",MAX($K$4:K172)+1,"")</f>
        <v/>
      </c>
      <c r="L173" t="str">
        <f>IF(sewerage!F7="Not Comply",T(sewerage!K7)&amp;"♦"&amp;T(sewerage!B7)&amp;"♦"&amp;T(sewerage!G7)&amp;"♦"&amp;T(sewerage!H7),"")</f>
        <v/>
      </c>
    </row>
    <row r="174" spans="11:12">
      <c r="K174" t="str">
        <f>IF(sewerage!F8="Not Comply",MAX($K$4:K173)+1,"")</f>
        <v/>
      </c>
      <c r="L174" t="str">
        <f>IF(sewerage!F8="Not Comply",T(sewerage!K8)&amp;"♦"&amp;T(sewerage!B8)&amp;"♦"&amp;T(sewerage!G8)&amp;"♦"&amp;T(sewerage!H8),"")</f>
        <v/>
      </c>
    </row>
    <row r="175" spans="11:12">
      <c r="K175" t="str">
        <f>IF(sewerage!F9="Not Comply",MAX($K$4:K174)+1,"")</f>
        <v/>
      </c>
      <c r="L175" t="str">
        <f>IF(sewerage!F9="Not Comply",T(sewerage!K9)&amp;"♦"&amp;T(sewerage!B9)&amp;"♦"&amp;T(sewerage!G9)&amp;"♦"&amp;T(sewerage!H9),"")</f>
        <v/>
      </c>
    </row>
    <row r="176" spans="11:12">
      <c r="K176" t="str">
        <f>IF(sewerage!F10="Not Comply",MAX($K$4:K175)+1,"")</f>
        <v/>
      </c>
      <c r="L176" t="str">
        <f>IF(sewerage!F10="Not Comply",T(sewerage!K10)&amp;"♦"&amp;T(sewerage!B10)&amp;"♦"&amp;T(sewerage!G10)&amp;"♦"&amp;T(sewerage!H10),"")</f>
        <v/>
      </c>
    </row>
    <row r="177" spans="11:12">
      <c r="K177" t="str">
        <f>IF(sewerage!F11="Not Comply",MAX($K$4:K176)+1,"")</f>
        <v/>
      </c>
      <c r="L177" t="str">
        <f>IF(sewerage!F11="Not Comply",T(sewerage!K11)&amp;"♦"&amp;T(sewerage!B11)&amp;"♦"&amp;T(sewerage!G11)&amp;"♦"&amp;T(sewerage!H11),"")</f>
        <v/>
      </c>
    </row>
    <row r="178" spans="11:12">
      <c r="K178" t="str">
        <f>IF(sewerage!F12="Not Comply",MAX($K$4:K177)+1,"")</f>
        <v/>
      </c>
      <c r="L178" t="str">
        <f>IF(sewerage!F12="Not Comply",T(sewerage!K12)&amp;"♦"&amp;T(sewerage!B12)&amp;"♦"&amp;T(sewerage!G12)&amp;"♦"&amp;T(sewerage!H12),"")</f>
        <v/>
      </c>
    </row>
    <row r="179" spans="11:12">
      <c r="K179" t="str">
        <f>IF(sewerage!F13="Not Comply",MAX($K$4:K178)+1,"")</f>
        <v/>
      </c>
      <c r="L179" t="str">
        <f>IF(sewerage!F13="Not Comply",T(sewerage!K13)&amp;"♦"&amp;T(sewerage!B13)&amp;"♦"&amp;T(sewerage!G13)&amp;"♦"&amp;T(sewerage!H13),"")</f>
        <v/>
      </c>
    </row>
    <row r="180" spans="11:12">
      <c r="K180" t="str">
        <f>IF(sewerage!F14="Not Comply",MAX($K$4:K179)+1,"")</f>
        <v/>
      </c>
      <c r="L180" t="str">
        <f>IF(sewerage!F14="Not Comply",T(sewerage!K14)&amp;"♦"&amp;T(sewerage!B14)&amp;"♦"&amp;T(sewerage!G14)&amp;"♦"&amp;T(sewerage!H14),"")</f>
        <v/>
      </c>
    </row>
    <row r="181" spans="11:12">
      <c r="K181" t="str">
        <f>IF(sewerage!F15="Not Comply",MAX($K$4:K180)+1,"")</f>
        <v/>
      </c>
      <c r="L181" t="str">
        <f>IF(sewerage!F15="Not Comply",T(sewerage!K15)&amp;"♦"&amp;T(sewerage!B15)&amp;"♦"&amp;T(sewerage!G15)&amp;"♦"&amp;T(sewerage!H15),"")</f>
        <v/>
      </c>
    </row>
    <row r="182" spans="11:12">
      <c r="K182" t="str">
        <f>IF(sewerage!F16="Not Comply",MAX($K$4:K181)+1,"")</f>
        <v/>
      </c>
      <c r="L182" t="str">
        <f>IF(sewerage!F16="Not Comply",T(sewerage!K16)&amp;"♦"&amp;T(sewerage!B16)&amp;"♦"&amp;T(sewerage!G16)&amp;"♦"&amp;T(sewerage!H16),"")</f>
        <v/>
      </c>
    </row>
    <row r="183" spans="11:12">
      <c r="K183" t="str">
        <f>IF(sewerage!F17="Not Comply",MAX($K$4:K182)+1,"")</f>
        <v/>
      </c>
      <c r="L183" t="str">
        <f>IF(sewerage!F17="Not Comply",T(sewerage!K17)&amp;"♦"&amp;T(sewerage!B17)&amp;"♦"&amp;T(sewerage!G17)&amp;"♦"&amp;T(sewerage!H17),"")</f>
        <v/>
      </c>
    </row>
    <row r="184" spans="11:12">
      <c r="K184" t="str">
        <f>IF(sewerage!F18="Not Comply",MAX($K$4:K183)+1,"")</f>
        <v/>
      </c>
      <c r="L184" t="str">
        <f>IF(sewerage!F18="Not Comply",T(sewerage!K18)&amp;"♦"&amp;T(sewerage!B18)&amp;"♦"&amp;T(sewerage!G18)&amp;"♦"&amp;T(sewerage!H18),"")</f>
        <v/>
      </c>
    </row>
    <row r="185" spans="11:12">
      <c r="K185" t="str">
        <f>IF(sewerage!F19="Not Comply",MAX($K$4:K184)+1,"")</f>
        <v/>
      </c>
      <c r="L185" t="str">
        <f>IF(sewerage!F19="Not Comply",T(sewerage!K19)&amp;"♦"&amp;T(sewerage!B19)&amp;"♦"&amp;T(sewerage!G19)&amp;"♦"&amp;T(sewerage!H19),"")</f>
        <v/>
      </c>
    </row>
    <row r="186" spans="11:12">
      <c r="K186" t="str">
        <f>IF(sewerage!F20="Not Comply",MAX($K$4:K185)+1,"")</f>
        <v/>
      </c>
      <c r="L186" t="str">
        <f>IF(sewerage!F20="Not Comply",T(sewerage!K20)&amp;"♦"&amp;T(sewerage!B20)&amp;"♦"&amp;T(sewerage!G20)&amp;"♦"&amp;T(sewerage!H20),"")</f>
        <v/>
      </c>
    </row>
    <row r="187" spans="11:12">
      <c r="K187" t="str">
        <f>IF(sewerage!F21="Not Comply",MAX($K$4:K186)+1,"")</f>
        <v/>
      </c>
      <c r="L187" t="str">
        <f>IF(sewerage!F21="Not Comply",T(sewerage!K21)&amp;"♦"&amp;T(sewerage!B21)&amp;"♦"&amp;T(sewerage!G21)&amp;"♦"&amp;T(sewerage!H21),"")</f>
        <v/>
      </c>
    </row>
    <row r="188" spans="11:12">
      <c r="K188" t="str">
        <f>IF('diesel engine'!F4="Not Comply",MAX($K$4:K187)+1,"")</f>
        <v/>
      </c>
      <c r="L188" t="str">
        <f>IF('diesel engine'!F4="Not Comply",T('diesel engine'!K4)&amp;"♦"&amp;T('diesel engine'!B4)&amp;"♦"&amp;T('diesel engine'!G4)&amp;"♦"&amp;T('diesel engine'!H4),"")</f>
        <v/>
      </c>
    </row>
    <row r="189" spans="11:12">
      <c r="K189" t="str">
        <f>IF('diesel engine'!F5="Not Comply",MAX($K$4:K188)+1,"")</f>
        <v/>
      </c>
      <c r="L189" t="str">
        <f>IF('diesel engine'!F5="Not Comply",T('diesel engine'!K5)&amp;"♦"&amp;T('diesel engine'!B5)&amp;"♦"&amp;T('diesel engine'!G5)&amp;"♦"&amp;T('diesel engine'!H5),"")</f>
        <v/>
      </c>
    </row>
    <row r="190" spans="11:12">
      <c r="K190" t="str">
        <f>IF('diesel engine'!F6="Not Comply",MAX($K$4:K189)+1,"")</f>
        <v/>
      </c>
      <c r="L190" t="str">
        <f>IF('diesel engine'!F6="Not Comply",T('diesel engine'!K6)&amp;"♦"&amp;T('diesel engine'!B6)&amp;"♦"&amp;T('diesel engine'!G6)&amp;"♦"&amp;T('diesel engine'!H6),"")</f>
        <v/>
      </c>
    </row>
    <row r="191" spans="11:12">
      <c r="K191" t="str">
        <f>IF('diesel engine'!F7="Not Comply",MAX($K$4:K190)+1,"")</f>
        <v/>
      </c>
      <c r="L191" t="str">
        <f>IF('diesel engine'!F7="Not Comply",T('diesel engine'!K7)&amp;"♦"&amp;T('diesel engine'!B7)&amp;"♦"&amp;T('diesel engine'!G7)&amp;"♦"&amp;T('diesel engine'!H7),"")</f>
        <v/>
      </c>
    </row>
    <row r="192" spans="11:12">
      <c r="K192" t="str">
        <f>IF('diesel engine'!F8="Not Comply",MAX($K$4:K191)+1,"")</f>
        <v/>
      </c>
      <c r="L192" t="str">
        <f>IF('diesel engine'!F8="Not Comply",T('diesel engine'!K8)&amp;"♦"&amp;T('diesel engine'!B8)&amp;"♦"&amp;T('diesel engine'!G8)&amp;"♦"&amp;T('diesel engine'!H8),"")</f>
        <v/>
      </c>
    </row>
    <row r="193" spans="11:12">
      <c r="K193" t="str">
        <f>IF('diesel engine'!F9="Not Comply",MAX($K$4:K192)+1,"")</f>
        <v/>
      </c>
      <c r="L193" t="str">
        <f>IF('diesel engine'!F9="Not Comply",T('diesel engine'!K9)&amp;"♦"&amp;T('diesel engine'!B9)&amp;"♦"&amp;T('diesel engine'!G9)&amp;"♦"&amp;T('diesel engine'!H9),"")</f>
        <v/>
      </c>
    </row>
    <row r="194" spans="11:12">
      <c r="K194" t="str">
        <f>IF('diesel engine'!F10="Not Comply",MAX($K$4:K193)+1,"")</f>
        <v/>
      </c>
      <c r="L194" t="str">
        <f>IF('diesel engine'!F10="Not Comply",T('diesel engine'!K10)&amp;"♦"&amp;T('diesel engine'!B10)&amp;"♦"&amp;T('diesel engine'!G10)&amp;"♦"&amp;T('diesel engine'!H10),"")</f>
        <v/>
      </c>
    </row>
    <row r="195" spans="11:12">
      <c r="K195" t="str">
        <f>IF('diesel engine'!F11="Not Comply",MAX($K$4:K194)+1,"")</f>
        <v/>
      </c>
      <c r="L195" t="str">
        <f>IF('diesel engine'!F11="Not Comply",T('diesel engine'!K11)&amp;"♦"&amp;T('diesel engine'!B11)&amp;"♦"&amp;T('diesel engine'!G11)&amp;"♦"&amp;T('diesel engine'!H11),"")</f>
        <v/>
      </c>
    </row>
    <row r="196" spans="11:12">
      <c r="K196" t="str">
        <f>IF('diesel engine'!F12="Not Comply",MAX($K$4:K195)+1,"")</f>
        <v/>
      </c>
      <c r="L196" t="str">
        <f>IF('diesel engine'!F12="Not Comply",T('diesel engine'!K12)&amp;"♦"&amp;T('diesel engine'!B12)&amp;"♦"&amp;T('diesel engine'!G12)&amp;"♦"&amp;T('diesel engine'!H12),"")</f>
        <v/>
      </c>
    </row>
    <row r="197" spans="11:12">
      <c r="K197" t="str">
        <f>IF('diesel engine'!F13="Not Comply",MAX($K$4:K196)+1,"")</f>
        <v/>
      </c>
      <c r="L197" t="str">
        <f>IF('diesel engine'!F13="Not Comply",T('diesel engine'!K13)&amp;"♦"&amp;T('diesel engine'!B13)&amp;"♦"&amp;T('diesel engine'!G13)&amp;"♦"&amp;T('diesel engine'!H13),"")</f>
        <v/>
      </c>
    </row>
    <row r="198" spans="11:12">
      <c r="K198" t="str">
        <f>IF('diesel engine'!F14="Not Comply",MAX($K$4:K197)+1,"")</f>
        <v/>
      </c>
      <c r="L198" t="str">
        <f>IF('diesel engine'!F14="Not Comply",T('diesel engine'!K14)&amp;"♦"&amp;T('diesel engine'!B14)&amp;"♦"&amp;T('diesel engine'!G14)&amp;"♦"&amp;T('diesel engine'!H14),"")</f>
        <v/>
      </c>
    </row>
    <row r="199" spans="11:12">
      <c r="K199" t="str">
        <f>IF('diesel engine'!F15="Not Comply",MAX($K$4:K198)+1,"")</f>
        <v/>
      </c>
      <c r="L199" t="str">
        <f>IF('diesel engine'!F15="Not Comply",T('diesel engine'!K15)&amp;"♦"&amp;T('diesel engine'!B15)&amp;"♦"&amp;T('diesel engine'!G15)&amp;"♦"&amp;T('diesel engine'!H15),"")</f>
        <v/>
      </c>
    </row>
    <row r="200" spans="11:12">
      <c r="K200" t="str">
        <f>IF('diesel engine'!F16="Not Comply",MAX($K$4:K199)+1,"")</f>
        <v/>
      </c>
      <c r="L200" t="str">
        <f>IF('diesel engine'!F16="Not Comply",T('diesel engine'!K16)&amp;"♦"&amp;T('diesel engine'!B16)&amp;"♦"&amp;T('diesel engine'!G16)&amp;"♦"&amp;T('diesel engine'!H16),"")</f>
        <v/>
      </c>
    </row>
    <row r="201" spans="11:12">
      <c r="K201" t="str">
        <f>IF(SW!F4="Not Comply",MAX($K$4:K200)+1,"")</f>
        <v/>
      </c>
      <c r="L201" t="str">
        <f>IF(SW!F4="Not Comply",T(SW!K4)&amp;"♦"&amp;T(SW!B4)&amp;"♦"&amp;T(SW!G4)&amp;"♦"&amp;T(SW!H4),"")</f>
        <v/>
      </c>
    </row>
    <row r="202" spans="11:12">
      <c r="K202" t="str">
        <f>IF(SW!F5="Not Comply",MAX($K$4:K201)+1,"")</f>
        <v/>
      </c>
      <c r="L202" t="str">
        <f>IF(SW!F5="Not Comply",T(SW!K5)&amp;"♦"&amp;T(SW!B5)&amp;"♦"&amp;T(SW!G5)&amp;"♦"&amp;T(SW!H5),"")</f>
        <v/>
      </c>
    </row>
    <row r="203" spans="11:12">
      <c r="K203" t="str">
        <f>IF(SW!F6="Not Comply",MAX($K$4:K202)+1,"")</f>
        <v/>
      </c>
      <c r="L203" t="str">
        <f>IF(SW!F6="Not Comply",T(SW!K6)&amp;"♦"&amp;T(SW!B6)&amp;"♦"&amp;T(SW!G6)&amp;"♦"&amp;T(SW!H6),"")</f>
        <v/>
      </c>
    </row>
    <row r="204" spans="11:12">
      <c r="K204" t="str">
        <f>IF(SW!F7="Not Comply",MAX($K$4:K203)+1,"")</f>
        <v/>
      </c>
      <c r="L204" t="str">
        <f>IF(SW!F7="Not Comply",T(SW!K7)&amp;"♦"&amp;T(SW!B7)&amp;"♦"&amp;T(SW!G7)&amp;"♦"&amp;T(SW!H7),"")</f>
        <v/>
      </c>
    </row>
    <row r="205" spans="11:12">
      <c r="K205" t="str">
        <f>IF(SW!F8="Not Comply",MAX($K$4:K204)+1,"")</f>
        <v/>
      </c>
      <c r="L205" t="str">
        <f>IF(SW!F8="Not Comply",T(SW!K8)&amp;"♦"&amp;T(SW!B8)&amp;"♦"&amp;T(SW!G8)&amp;"♦"&amp;T(SW!H8),"")</f>
        <v/>
      </c>
    </row>
    <row r="206" spans="11:12">
      <c r="K206" t="str">
        <f>IF(SW!F9="Not Comply",MAX($K$4:K205)+1,"")</f>
        <v/>
      </c>
      <c r="L206" t="str">
        <f>IF(SW!F9="Not Comply",T(SW!K9)&amp;"♦"&amp;T(SW!B9)&amp;"♦"&amp;T(SW!G9)&amp;"♦"&amp;T(SW!H9),"")</f>
        <v/>
      </c>
    </row>
    <row r="207" spans="11:12">
      <c r="K207" t="str">
        <f>IF(SW!F10="Not Comply",MAX($K$4:K206)+1,"")</f>
        <v/>
      </c>
      <c r="L207" t="str">
        <f>IF(SW!F10="Not Comply",T(SW!K10)&amp;"♦"&amp;T(SW!B10)&amp;"♦"&amp;T(SW!G10)&amp;"♦"&amp;T(SW!H10),"")</f>
        <v/>
      </c>
    </row>
    <row r="208" spans="11:12">
      <c r="K208" t="str">
        <f>IF(SW!F11="Not Comply",MAX($K$4:K207)+1,"")</f>
        <v/>
      </c>
      <c r="L208" t="str">
        <f>IF(SW!F11="Not Comply",T(SW!K11)&amp;"♦"&amp;T(SW!B11)&amp;"♦"&amp;T(SW!G11)&amp;"♦"&amp;T(SW!H11),"")</f>
        <v/>
      </c>
    </row>
    <row r="209" spans="11:12">
      <c r="K209" t="str">
        <f>IF(SW!F12="Not Comply",MAX($K$4:K208)+1,"")</f>
        <v/>
      </c>
      <c r="L209" t="str">
        <f>IF(SW!F12="Not Comply",T(SW!K12)&amp;"♦"&amp;T(SW!B12)&amp;"♦"&amp;T(SW!G12)&amp;"♦"&amp;T(SW!H12),"")</f>
        <v/>
      </c>
    </row>
    <row r="210" spans="11:12">
      <c r="K210" t="str">
        <f>IF(SW!F13="Not Comply",MAX($K$4:K209)+1,"")</f>
        <v/>
      </c>
      <c r="L210" t="str">
        <f>IF(SW!F13="Not Comply",T(SW!K13)&amp;"♦"&amp;T(SW!B13)&amp;"♦"&amp;T(SW!G13)&amp;"♦"&amp;T(SW!H13),"")</f>
        <v/>
      </c>
    </row>
    <row r="211" spans="11:12">
      <c r="K211" t="str">
        <f>IF(SW!F14="Not Comply",MAX($K$4:K210)+1,"")</f>
        <v/>
      </c>
      <c r="L211" t="str">
        <f>IF(SW!F14="Not Comply",T(SW!K14)&amp;"♦"&amp;T(SW!B14)&amp;"♦"&amp;T(SW!G14)&amp;"♦"&amp;T(SW!H14),"")</f>
        <v/>
      </c>
    </row>
    <row r="212" spans="11:12">
      <c r="K212" t="str">
        <f>IF(SW!F15="Not Comply",MAX($K$4:K211)+1,"")</f>
        <v/>
      </c>
      <c r="L212" t="str">
        <f>IF(SW!F15="Not Comply",T(SW!K15)&amp;"♦"&amp;T(SW!B15)&amp;"♦"&amp;T(SW!G15)&amp;"♦"&amp;T(SW!H15),"")</f>
        <v/>
      </c>
    </row>
    <row r="213" spans="11:12">
      <c r="K213" t="str">
        <f>IF(SW!F16="Not Comply",MAX($K$4:K212)+1,"")</f>
        <v/>
      </c>
      <c r="L213" t="str">
        <f>IF(SW!F16="Not Comply",T(SW!K16)&amp;"♦"&amp;T(SW!B16)&amp;"♦"&amp;T(SW!G16)&amp;"♦"&amp;T(SW!H16),"")</f>
        <v/>
      </c>
    </row>
    <row r="214" spans="11:12">
      <c r="K214" t="str">
        <f>IF(SW!F17="Not Comply",MAX($K$4:K213)+1,"")</f>
        <v/>
      </c>
      <c r="L214" t="str">
        <f>IF(SW!F17="Not Comply",T(SW!K17)&amp;"♦"&amp;T(SW!B17)&amp;"♦"&amp;T(SW!G17)&amp;"♦"&amp;T(SW!H17),"")</f>
        <v/>
      </c>
    </row>
    <row r="215" spans="11:12">
      <c r="K215" t="str">
        <f>IF(SW!F18="Not Comply",MAX($K$4:K214)+1,"")</f>
        <v/>
      </c>
      <c r="L215" t="str">
        <f>IF(SW!F18="Not Comply",T(SW!K18)&amp;"♦"&amp;T(SW!B18)&amp;"♦"&amp;T(SW!G18)&amp;"♦"&amp;T(SW!H18),"")</f>
        <v/>
      </c>
    </row>
    <row r="216" spans="11:12">
      <c r="K216" t="str">
        <f>IF('Control of Petrol &amp; Diesel'!F4="Not Comply",MAX($K$4:K215)+1,"")</f>
        <v/>
      </c>
      <c r="L216" t="str">
        <f>IF('Control of Petrol &amp; Diesel'!F4="Not Comply",T('Control of Petrol &amp; Diesel'!K4)&amp;"♦"&amp;T('Control of Petrol &amp; Diesel'!B4)&amp;"♦"&amp;T('Control of Petrol &amp; Diesel'!G4)&amp;"♦"&amp;T('Control of Petrol &amp; Diesel'!H4),"")</f>
        <v/>
      </c>
    </row>
    <row r="217" spans="11:12">
      <c r="K217" t="str">
        <f>IF('Control of Petrol &amp; Diesel'!F5="Not Comply",MAX($K$4:K216)+1,"")</f>
        <v/>
      </c>
      <c r="L217" t="str">
        <f>IF('Control of Petrol &amp; Diesel'!F5="Not Comply",T('Control of Petrol &amp; Diesel'!K5)&amp;"♦"&amp;T('Control of Petrol &amp; Diesel'!B5)&amp;"♦"&amp;T('Control of Petrol &amp; Diesel'!G5)&amp;"♦"&amp;T('Control of Petrol &amp; Diesel'!H5),"")</f>
        <v/>
      </c>
    </row>
    <row r="218" spans="11:12">
      <c r="K218" t="str">
        <f>IF('Control of Petrol &amp; Diesel'!F6="Not Comply",MAX($K$4:K217)+1,"")</f>
        <v/>
      </c>
      <c r="L218" t="str">
        <f>IF('Control of Petrol &amp; Diesel'!F6="Not Comply",T('Control of Petrol &amp; Diesel'!K6)&amp;"♦"&amp;T('Control of Petrol &amp; Diesel'!B6)&amp;"♦"&amp;T('Control of Petrol &amp; Diesel'!G6)&amp;"♦"&amp;T('Control of Petrol &amp; Diesel'!H6),"")</f>
        <v/>
      </c>
    </row>
    <row r="219" spans="11:12">
      <c r="K219" t="str">
        <f>IF('Control of Petrol &amp; Diesel'!F7="Not Comply",MAX($K$4:K218)+1,"")</f>
        <v/>
      </c>
      <c r="L219" t="str">
        <f>IF('Control of Petrol &amp; Diesel'!F7="Not Comply",T('Control of Petrol &amp; Diesel'!K7)&amp;"♦"&amp;T('Control of Petrol &amp; Diesel'!B7)&amp;"♦"&amp;T('Control of Petrol &amp; Diesel'!G7)&amp;"♦"&amp;T('Control of Petrol &amp; Diesel'!H7),"")</f>
        <v/>
      </c>
    </row>
    <row r="220" spans="11:12">
      <c r="K220" t="str">
        <f>IF('Control of Petrol &amp; Diesel'!F8="Not Comply",MAX($K$4:K219)+1,"")</f>
        <v/>
      </c>
      <c r="L220" t="str">
        <f>IF('Control of Petrol &amp; Diesel'!F8="Not Comply",T('Control of Petrol &amp; Diesel'!K8)&amp;"♦"&amp;T('Control of Petrol &amp; Diesel'!B8)&amp;"♦"&amp;T('Control of Petrol &amp; Diesel'!G8)&amp;"♦"&amp;T('Control of Petrol &amp; Diesel'!H8),"")</f>
        <v/>
      </c>
    </row>
    <row r="221" spans="11:12">
      <c r="K221" t="str">
        <f>IF('Control of Petrol &amp; Diesel'!F9="Not Comply",MAX($K$4:K220)+1,"")</f>
        <v/>
      </c>
      <c r="L221" t="str">
        <f>IF('Control of Petrol &amp; Diesel'!F9="Not Comply",T('Control of Petrol &amp; Diesel'!K9)&amp;"♦"&amp;T('Control of Petrol &amp; Diesel'!B9)&amp;"♦"&amp;T('Control of Petrol &amp; Diesel'!G9)&amp;"♦"&amp;T('Control of Petrol &amp; Diesel'!H9),"")</f>
        <v/>
      </c>
    </row>
    <row r="222" spans="11:12">
      <c r="K222" t="str">
        <f>IF('Control of Petrol &amp; Diesel'!F10="Not Comply",MAX($K$4:K221)+1,"")</f>
        <v/>
      </c>
      <c r="L222" t="str">
        <f>IF('Control of Petrol &amp; Diesel'!F10="Not Comply",T('Control of Petrol &amp; Diesel'!K10)&amp;"♦"&amp;T('Control of Petrol &amp; Diesel'!B10)&amp;"♦"&amp;T('Control of Petrol &amp; Diesel'!G10)&amp;"♦"&amp;T('Control of Petrol &amp; Diesel'!H10),"")</f>
        <v/>
      </c>
    </row>
    <row r="223" spans="11:12">
      <c r="K223" t="str">
        <f>IF('Control of Petrol &amp; Diesel'!F11="Not Comply",MAX($K$4:K222)+1,"")</f>
        <v/>
      </c>
      <c r="L223" t="str">
        <f>IF('Control of Petrol &amp; Diesel'!F11="Not Comply",T('Control of Petrol &amp; Diesel'!K11)&amp;"♦"&amp;T('Control of Petrol &amp; Diesel'!B11)&amp;"♦"&amp;T('Control of Petrol &amp; Diesel'!G11)&amp;"♦"&amp;T('Control of Petrol &amp; Diesel'!H11),"")</f>
        <v/>
      </c>
    </row>
    <row r="224" spans="11:12">
      <c r="K224" t="str">
        <f>IF('Control of Petrol &amp; Diesel'!F12="Not Comply",MAX($K$4:K223)+1,"")</f>
        <v/>
      </c>
      <c r="L224" t="str">
        <f>IF('Control of Petrol &amp; Diesel'!F12="Not Comply",T('Control of Petrol &amp; Diesel'!K12)&amp;"♦"&amp;T('Control of Petrol &amp; Diesel'!B12)&amp;"♦"&amp;T('Control of Petrol &amp; Diesel'!G12)&amp;"♦"&amp;T('Control of Petrol &amp; Diesel'!H12),"")</f>
        <v/>
      </c>
    </row>
    <row r="225" spans="11:12">
      <c r="K225" t="str">
        <f>IF('Control of Petrol &amp; Diesel'!F13="Not Comply",MAX($K$4:K224)+1,"")</f>
        <v/>
      </c>
      <c r="L225" t="str">
        <f>IF('Control of Petrol &amp; Diesel'!F13="Not Comply",T('Control of Petrol &amp; Diesel'!K13)&amp;"♦"&amp;T('Control of Petrol &amp; Diesel'!B13)&amp;"♦"&amp;T('Control of Petrol &amp; Diesel'!G13)&amp;"♦"&amp;T('Control of Petrol &amp; Diesel'!H13),"")</f>
        <v/>
      </c>
    </row>
    <row r="226" spans="11:12">
      <c r="K226" t="str">
        <f>IF('Control of Petrol &amp; Diesel'!F14="Not Comply",MAX($K$4:K225)+1,"")</f>
        <v/>
      </c>
      <c r="L226" t="str">
        <f>IF('Control of Petrol &amp; Diesel'!F14="Not Comply",T('Control of Petrol &amp; Diesel'!K14)&amp;"♦"&amp;T('Control of Petrol &amp; Diesel'!B14)&amp;"♦"&amp;T('Control of Petrol &amp; Diesel'!G14)&amp;"♦"&amp;T('Control of Petrol &amp; Diesel'!H14),"")</f>
        <v/>
      </c>
    </row>
    <row r="227" spans="11:12">
      <c r="K227" t="str">
        <f>IF('Control of Petrol &amp; Diesel'!F15="Not Comply",MAX($K$4:K226)+1,"")</f>
        <v/>
      </c>
      <c r="L227" t="str">
        <f>IF('Control of Petrol &amp; Diesel'!F15="Not Comply",T('Control of Petrol &amp; Diesel'!K15)&amp;"♦"&amp;T('Control of Petrol &amp; Diesel'!B15)&amp;"♦"&amp;T('Control of Petrol &amp; Diesel'!G15)&amp;"♦"&amp;T('Control of Petrol &amp; Diesel'!H15),"")</f>
        <v/>
      </c>
    </row>
    <row r="228" spans="11:12">
      <c r="K228" t="str">
        <f>IF('Control of Petrol &amp; Diesel'!F16="Not Comply",MAX($K$4:K227)+1,"")</f>
        <v/>
      </c>
      <c r="L228" t="str">
        <f>IF('Control of Petrol &amp; Diesel'!F16="Not Comply",T('Control of Petrol &amp; Diesel'!K16)&amp;"♦"&amp;T('Control of Petrol &amp; Diesel'!B16)&amp;"♦"&amp;T('Control of Petrol &amp; Diesel'!G16)&amp;"♦"&amp;T('Control of Petrol &amp; Diesel'!H16),"")</f>
        <v/>
      </c>
    </row>
    <row r="229" spans="11:12">
      <c r="K229" t="str">
        <f>IF('solid waste'!F4="Not Comply",MAX($K$4:K228)+1,"")</f>
        <v/>
      </c>
      <c r="L229" t="str">
        <f>IF('solid waste'!F4="Not Comply",T('solid waste'!K4)&amp;"♦"&amp;T('solid waste'!B4)&amp;"♦"&amp;T('solid waste'!G4)&amp;"♦"&amp;T('solid waste'!H4),"")</f>
        <v/>
      </c>
    </row>
    <row r="230" spans="11:12">
      <c r="K230" t="str">
        <f>IF('solid waste'!F5="Not Comply",MAX($K$4:K229)+1,"")</f>
        <v/>
      </c>
      <c r="L230" t="str">
        <f>IF('solid waste'!F5="Not Comply",T('solid waste'!K5)&amp;"♦"&amp;T('solid waste'!B5)&amp;"♦"&amp;T('solid waste'!G5)&amp;"♦"&amp;T('solid waste'!H5),"")</f>
        <v/>
      </c>
    </row>
    <row r="231" spans="11:12">
      <c r="K231" t="str">
        <f>IF('solid waste'!F6="Not Comply",MAX($K$4:K230)+1,"")</f>
        <v/>
      </c>
      <c r="L231" t="str">
        <f>IF('solid waste'!F6="Not Comply",T('solid waste'!K6)&amp;"♦"&amp;T('solid waste'!B6)&amp;"♦"&amp;T('solid waste'!G6)&amp;"♦"&amp;T('solid waste'!H6),"")</f>
        <v/>
      </c>
    </row>
    <row r="232" spans="11:12">
      <c r="K232" t="str">
        <f>IF('solid waste'!F7="Not Comply",MAX($K$4:K231)+1,"")</f>
        <v/>
      </c>
      <c r="L232" t="str">
        <f>IF('solid waste'!F7="Not Comply",T('solid waste'!K7)&amp;"♦"&amp;T('solid waste'!B7)&amp;"♦"&amp;T('solid waste'!G7)&amp;"♦"&amp;T('solid waste'!H7),"")</f>
        <v/>
      </c>
    </row>
    <row r="233" spans="11:12">
      <c r="K233" t="str">
        <f>IF('solid waste'!F8="Not Comply",MAX($K$4:K232)+1,"")</f>
        <v/>
      </c>
      <c r="L233" t="str">
        <f>IF('solid waste'!F8="Not Comply",T('solid waste'!K8)&amp;"♦"&amp;T('solid waste'!B8)&amp;"♦"&amp;T('solid waste'!G8)&amp;"♦"&amp;T('solid waste'!H8),"")</f>
        <v/>
      </c>
    </row>
    <row r="234" spans="11:12">
      <c r="K234" t="str">
        <f>IF('solid waste'!F9="Not Comply",MAX($K$4:K233)+1,"")</f>
        <v/>
      </c>
      <c r="L234" t="str">
        <f>IF('solid waste'!F9="Not Comply",T('solid waste'!K9)&amp;"♦"&amp;T('solid waste'!B9)&amp;"♦"&amp;T('solid waste'!G9)&amp;"♦"&amp;T('solid waste'!H9),"")</f>
        <v/>
      </c>
    </row>
    <row r="235" spans="11:12">
      <c r="K235" t="str">
        <f>IF('solid waste'!F10="Not Comply",MAX($K$4:K234)+1,"")</f>
        <v/>
      </c>
      <c r="L235" t="str">
        <f>IF('solid waste'!F10="Not Comply",T('solid waste'!K10)&amp;"♦"&amp;T('solid waste'!B10)&amp;"♦"&amp;T('solid waste'!G10)&amp;"♦"&amp;T('solid waste'!H10),"")</f>
        <v/>
      </c>
    </row>
    <row r="236" spans="11:12">
      <c r="K236" t="str">
        <f>IF('solid waste'!F11="Not Comply",MAX($K$4:K235)+1,"")</f>
        <v/>
      </c>
      <c r="L236" t="str">
        <f>IF('solid waste'!F11="Not Comply",T('solid waste'!K11)&amp;"♦"&amp;T('solid waste'!B11)&amp;"♦"&amp;T('solid waste'!G11)&amp;"♦"&amp;T('solid waste'!H11),"")</f>
        <v/>
      </c>
    </row>
    <row r="237" spans="11:12">
      <c r="K237" t="str">
        <f>IF('solid waste'!F12="Not Comply",MAX($K$4:K236)+1,"")</f>
        <v/>
      </c>
      <c r="L237" t="str">
        <f>IF('solid waste'!F12="Not Comply",T('solid waste'!K12)&amp;"♦"&amp;T('solid waste'!B12)&amp;"♦"&amp;T('solid waste'!G12)&amp;"♦"&amp;T('solid waste'!H12),"")</f>
        <v/>
      </c>
    </row>
    <row r="238" spans="11:12">
      <c r="K238" t="str">
        <f>IF('solid waste'!F13="Not Comply",MAX($K$4:K237)+1,"")</f>
        <v/>
      </c>
      <c r="L238" t="str">
        <f>IF('solid waste'!F13="Not Comply",T('solid waste'!K13)&amp;"♦"&amp;T('solid waste'!B13)&amp;"♦"&amp;T('solid waste'!G13)&amp;"♦"&amp;T('solid waste'!H13),"")</f>
        <v/>
      </c>
    </row>
    <row r="239" spans="11:12">
      <c r="K239" t="str">
        <f>IF('solid waste'!F14="Not Comply",MAX($K$4:K238)+1,"")</f>
        <v/>
      </c>
      <c r="L239" t="str">
        <f>IF('solid waste'!F14="Not Comply",T('solid waste'!K14)&amp;"♦"&amp;T('solid waste'!B14)&amp;"♦"&amp;T('solid waste'!G14)&amp;"♦"&amp;T('solid waste'!H14),"")</f>
        <v/>
      </c>
    </row>
    <row r="240" spans="11:12">
      <c r="K240" t="str">
        <f>IF('solid waste'!F15="Not Comply",MAX($K$4:K239)+1,"")</f>
        <v/>
      </c>
      <c r="L240" t="str">
        <f>IF('solid waste'!F15="Not Comply",T('solid waste'!K15)&amp;"♦"&amp;T('solid waste'!B15)&amp;"♦"&amp;T('solid waste'!G15)&amp;"♦"&amp;T('solid waste'!H15),"")</f>
        <v/>
      </c>
    </row>
    <row r="241" spans="11:12">
      <c r="K241" t="str">
        <f>IF('solid waste'!F16="Not Comply",MAX($K$4:K240)+1,"")</f>
        <v/>
      </c>
      <c r="L241" t="str">
        <f>IF('solid waste'!F16="Not Comply",T('solid waste'!K16)&amp;"♦"&amp;T('solid waste'!B16)&amp;"♦"&amp;T('solid waste'!G16)&amp;"♦"&amp;T('solid waste'!H16),"")</f>
        <v/>
      </c>
    </row>
    <row r="242" spans="11:12">
      <c r="K242" t="str">
        <f>IF('solid waste'!F17="Not Comply",MAX($K$4:K241)+1,"")</f>
        <v/>
      </c>
      <c r="L242" t="str">
        <f>IF('solid waste'!F17="Not Comply",T('solid waste'!K17)&amp;"♦"&amp;T('solid waste'!B17)&amp;"♦"&amp;T('solid waste'!G17)&amp;"♦"&amp;T('solid waste'!H17),"")</f>
        <v/>
      </c>
    </row>
    <row r="243" spans="11:12">
      <c r="K243" t="str">
        <f>IF('solid waste'!F18="Not Comply",MAX($K$4:K242)+1,"")</f>
        <v/>
      </c>
      <c r="L243" t="str">
        <f>IF('solid waste'!F18="Not Comply",T('solid waste'!K18)&amp;"♦"&amp;T('solid waste'!B18)&amp;"♦"&amp;T('solid waste'!G18)&amp;"♦"&amp;T('solid waste'!H18),"")</f>
        <v/>
      </c>
    </row>
    <row r="244" spans="11:12">
      <c r="K244" t="str">
        <f>IF('solid waste'!F19="Not Comply",MAX($K$4:K243)+1,"")</f>
        <v/>
      </c>
      <c r="L244" t="str">
        <f>IF('solid waste'!F19="Not Comply",T('solid waste'!K19)&amp;"♦"&amp;T('solid waste'!B19)&amp;"♦"&amp;T('solid waste'!G19)&amp;"♦"&amp;T('solid waste'!H19),"")</f>
        <v/>
      </c>
    </row>
    <row r="245" spans="11:12">
      <c r="K245" t="str">
        <f>IF('solid waste'!F20="Not Comply",MAX($K$4:K244)+1,"")</f>
        <v/>
      </c>
      <c r="L245" t="str">
        <f>IF('solid waste'!F20="Not Comply",T('solid waste'!K20)&amp;"♦"&amp;T('solid waste'!B20)&amp;"♦"&amp;T('solid waste'!G20)&amp;"♦"&amp;T('solid waste'!H20),"")</f>
        <v/>
      </c>
    </row>
    <row r="246" spans="11:12">
      <c r="K246" t="str">
        <f>IF('solid waste'!F21="Not Comply",MAX($K$4:K245)+1,"")</f>
        <v/>
      </c>
      <c r="L246" t="str">
        <f>IF('solid waste'!F21="Not Comply",T('solid waste'!K21)&amp;"♦"&amp;T('solid waste'!B21)&amp;"♦"&amp;T('solid waste'!G21)&amp;"♦"&amp;T('solid waste'!H21),"")</f>
        <v/>
      </c>
    </row>
    <row r="247" spans="11:12">
      <c r="K247" t="str">
        <f>IF('solid waste'!F22="Not Comply",MAX($K$4:K246)+1,"")</f>
        <v/>
      </c>
      <c r="L247" t="str">
        <f>IF('solid waste'!F22="Not Comply",T('solid waste'!K22)&amp;"♦"&amp;T('solid waste'!B22)&amp;"♦"&amp;T('solid waste'!G22)&amp;"♦"&amp;T('solid waste'!H22),"")</f>
        <v/>
      </c>
    </row>
    <row r="248" spans="11:12">
      <c r="K248" t="str">
        <f>IF('solid waste'!F23="Not Comply",MAX($K$4:K247)+1,"")</f>
        <v/>
      </c>
      <c r="L248" t="str">
        <f>IF('solid waste'!F23="Not Comply",T('solid waste'!K23)&amp;"♦"&amp;T('solid waste'!B23)&amp;"♦"&amp;T('solid waste'!G23)&amp;"♦"&amp;T('solid waste'!H23),"")</f>
        <v/>
      </c>
    </row>
    <row r="249" spans="11:12">
      <c r="K249" t="str">
        <f>IF('solid waste'!F24="Not Comply",MAX($K$4:K248)+1,"")</f>
        <v/>
      </c>
      <c r="L249" t="str">
        <f>IF('solid waste'!F24="Not Comply",T('solid waste'!K24)&amp;"♦"&amp;T('solid waste'!B24)&amp;"♦"&amp;T('solid waste'!G24)&amp;"♦"&amp;T('solid waste'!H24),"")</f>
        <v/>
      </c>
    </row>
    <row r="250" spans="11:12">
      <c r="K250" t="str">
        <f>IF('solid waste'!F25="Not Comply",MAX($K$4:K249)+1,"")</f>
        <v/>
      </c>
      <c r="L250" t="str">
        <f>IF('solid waste'!F25="Not Comply",T('solid waste'!K25)&amp;"♦"&amp;T('solid waste'!B25)&amp;"♦"&amp;T('solid waste'!G25)&amp;"♦"&amp;T('solid waste'!H25),"")</f>
        <v/>
      </c>
    </row>
    <row r="251" spans="11:12">
      <c r="K251" t="str">
        <f>IF('solid waste'!F26="Not Comply",MAX($K$4:K250)+1,"")</f>
        <v/>
      </c>
      <c r="L251" t="str">
        <f>IF('solid waste'!F26="Not Comply",T('solid waste'!K26)&amp;"♦"&amp;T('solid waste'!B26)&amp;"♦"&amp;T('solid waste'!G26)&amp;"♦"&amp;T('solid waste'!H26),"")</f>
        <v/>
      </c>
    </row>
    <row r="252" spans="11:12">
      <c r="K252" t="str">
        <f>IF('clean air'!F4="Not Comply",MAX($K$4:K251)+1,"")</f>
        <v/>
      </c>
      <c r="L252" t="str">
        <f>IF('clean air'!F4="Not Comply",T('clean air'!K4)&amp;"♦"&amp;T('clean air'!B4)&amp;"♦"&amp;T('clean air'!G4)&amp;"♦"&amp;T('clean air'!H4),"")</f>
        <v/>
      </c>
    </row>
    <row r="253" spans="11:12">
      <c r="K253" t="str">
        <f>IF('clean air'!F5="Not Comply",MAX($K$4:K252)+1,"")</f>
        <v/>
      </c>
      <c r="L253" t="str">
        <f>IF('clean air'!F5="Not Comply",T('clean air'!K5)&amp;"♦"&amp;T('clean air'!B5)&amp;"♦"&amp;T('clean air'!G5)&amp;"♦"&amp;T('clean air'!H5),"")</f>
        <v/>
      </c>
    </row>
    <row r="254" spans="11:12">
      <c r="K254" t="str">
        <f>IF('clean air'!F6="Not Comply",MAX($K$4:K253)+1,"")</f>
        <v/>
      </c>
      <c r="L254" t="str">
        <f>IF('clean air'!F6="Not Comply",T('clean air'!K6)&amp;"♦"&amp;T('clean air'!B6)&amp;"♦"&amp;T('clean air'!G6)&amp;"♦"&amp;T('clean air'!H6),"")</f>
        <v/>
      </c>
    </row>
    <row r="255" spans="11:12">
      <c r="K255" t="str">
        <f>IF('clean air'!F7="Not Comply",MAX($K$4:K254)+1,"")</f>
        <v/>
      </c>
      <c r="L255" t="str">
        <f>IF('clean air'!F7="Not Comply",T('clean air'!K7)&amp;"♦"&amp;T('clean air'!B7)&amp;"♦"&amp;T('clean air'!G7)&amp;"♦"&amp;T('clean air'!H7),"")</f>
        <v/>
      </c>
    </row>
    <row r="256" spans="11:12">
      <c r="K256" t="str">
        <f>IF('clean air'!F8="Not Comply",MAX($K$4:K255)+1,"")</f>
        <v/>
      </c>
      <c r="L256" t="str">
        <f>IF('clean air'!F8="Not Comply",T('clean air'!K8)&amp;"♦"&amp;T('clean air'!B8)&amp;"♦"&amp;T('clean air'!G8)&amp;"♦"&amp;T('clean air'!H8),"")</f>
        <v/>
      </c>
    </row>
    <row r="257" spans="11:12">
      <c r="K257" t="str">
        <f>IF('clean air'!F9="Not Comply",MAX($K$4:K256)+1,"")</f>
        <v/>
      </c>
      <c r="L257" t="str">
        <f>IF('clean air'!F9="Not Comply",T('clean air'!K9)&amp;"♦"&amp;T('clean air'!B9)&amp;"♦"&amp;T('clean air'!G9)&amp;"♦"&amp;T('clean air'!H9),"")</f>
        <v/>
      </c>
    </row>
    <row r="258" spans="11:12">
      <c r="K258" t="str">
        <f>IF('clean air'!F10="Not Comply",MAX($K$4:K257)+1,"")</f>
        <v/>
      </c>
      <c r="L258" t="str">
        <f>IF('clean air'!F10="Not Comply",T('clean air'!K10)&amp;"♦"&amp;T('clean air'!B10)&amp;"♦"&amp;T('clean air'!G10)&amp;"♦"&amp;T('clean air'!H10),"")</f>
        <v/>
      </c>
    </row>
    <row r="259" spans="11:12">
      <c r="K259" t="str">
        <f>IF('clean air'!F11="Not Comply",MAX($K$4:K258)+1,"")</f>
        <v/>
      </c>
      <c r="L259" t="str">
        <f>IF('clean air'!F11="Not Comply",T('clean air'!K11)&amp;"♦"&amp;T('clean air'!B11)&amp;"♦"&amp;T('clean air'!G11)&amp;"♦"&amp;T('clean air'!H11),"")</f>
        <v/>
      </c>
    </row>
    <row r="260" spans="11:12">
      <c r="K260" t="str">
        <f>IF('clean air'!F12="Not Comply",MAX($K$4:K259)+1,"")</f>
        <v/>
      </c>
      <c r="L260" t="str">
        <f>IF('clean air'!F12="Not Comply",T('clean air'!K12)&amp;"♦"&amp;T('clean air'!B12)&amp;"♦"&amp;T('clean air'!G12)&amp;"♦"&amp;T('clean air'!H12),"")</f>
        <v/>
      </c>
    </row>
    <row r="261" spans="11:12">
      <c r="K261" t="str">
        <f>IF('clean air'!F13="Not Comply",MAX($K$4:K260)+1,"")</f>
        <v/>
      </c>
      <c r="L261" t="str">
        <f>IF('clean air'!F13="Not Comply",T('clean air'!K13)&amp;"♦"&amp;T('clean air'!B13)&amp;"♦"&amp;T('clean air'!G13)&amp;"♦"&amp;T('clean air'!H13),"")</f>
        <v/>
      </c>
    </row>
    <row r="262" spans="11:12">
      <c r="K262" t="str">
        <f>IF('clean air'!F14="Not Comply",MAX($K$4:K261)+1,"")</f>
        <v/>
      </c>
      <c r="L262" t="str">
        <f>IF('clean air'!F14="Not Comply",T('clean air'!K14)&amp;"♦"&amp;T('clean air'!B14)&amp;"♦"&amp;T('clean air'!G14)&amp;"♦"&amp;T('clean air'!H14),"")</f>
        <v/>
      </c>
    </row>
    <row r="263" spans="11:12">
      <c r="K263" t="str">
        <f>IF('clean air'!F15="Not Comply",MAX($K$4:K262)+1,"")</f>
        <v/>
      </c>
      <c r="L263" t="str">
        <f>IF('clean air'!F15="Not Comply",T('clean air'!K15)&amp;"♦"&amp;T('clean air'!B15)&amp;"♦"&amp;T('clean air'!G15)&amp;"♦"&amp;T('clean air'!H15),"")</f>
        <v/>
      </c>
    </row>
    <row r="264" spans="11:12">
      <c r="K264" t="str">
        <f>IF('clean air'!F16="Not Comply",MAX($K$4:K263)+1,"")</f>
        <v/>
      </c>
      <c r="L264" t="str">
        <f>IF('clean air'!F16="Not Comply",T('clean air'!K16)&amp;"♦"&amp;T('clean air'!B16)&amp;"♦"&amp;T('clean air'!G16)&amp;"♦"&amp;T('clean air'!H16),"")</f>
        <v/>
      </c>
    </row>
    <row r="265" spans="11:12">
      <c r="K265" t="str">
        <f>IF('clean air'!F17="Not Comply",MAX($K$4:K264)+1,"")</f>
        <v/>
      </c>
      <c r="L265" t="str">
        <f>IF('clean air'!F17="Not Comply",T('clean air'!K17)&amp;"♦"&amp;T('clean air'!B17)&amp;"♦"&amp;T('clean air'!G17)&amp;"♦"&amp;T('clean air'!H17),"")</f>
        <v/>
      </c>
    </row>
    <row r="266" spans="11:12">
      <c r="K266" t="str">
        <f>IF('clean air'!F18="Not Comply",MAX($K$4:K265)+1,"")</f>
        <v/>
      </c>
      <c r="L266" t="str">
        <f>IF('clean air'!F18="Not Comply",T('clean air'!K18)&amp;"♦"&amp;T('clean air'!B18)&amp;"♦"&amp;T('clean air'!G18)&amp;"♦"&amp;T('clean air'!H18),"")</f>
        <v/>
      </c>
    </row>
    <row r="267" spans="11:12">
      <c r="K267" t="str">
        <f>IF('clean air'!F19="Not Comply",MAX($K$4:K266)+1,"")</f>
        <v/>
      </c>
      <c r="L267" t="str">
        <f>IF('clean air'!F19="Not Comply",T('clean air'!K19)&amp;"♦"&amp;T('clean air'!B19)&amp;"♦"&amp;T('clean air'!G19)&amp;"♦"&amp;T('clean air'!H19),"")</f>
        <v/>
      </c>
    </row>
    <row r="268" spans="11:12">
      <c r="K268" t="str">
        <f>IF('clean air'!F20="Not Comply",MAX($K$4:K267)+1,"")</f>
        <v/>
      </c>
      <c r="L268" t="str">
        <f>IF('clean air'!F20="Not Comply",T('clean air'!K20)&amp;"♦"&amp;T('clean air'!B20)&amp;"♦"&amp;T('clean air'!G20)&amp;"♦"&amp;T('clean air'!H20),"")</f>
        <v/>
      </c>
    </row>
    <row r="269" spans="11:12">
      <c r="K269" t="str">
        <f>IF('clean air'!F21="Not Comply",MAX($K$4:K268)+1,"")</f>
        <v/>
      </c>
      <c r="L269" t="str">
        <f>IF('clean air'!F21="Not Comply",T('clean air'!K21)&amp;"♦"&amp;T('clean air'!B21)&amp;"♦"&amp;T('clean air'!G21)&amp;"♦"&amp;T('clean air'!H21),"")</f>
        <v/>
      </c>
    </row>
    <row r="270" spans="11:12">
      <c r="K270" t="str">
        <f>IF('clean air'!F22="Not Comply",MAX($K$4:K269)+1,"")</f>
        <v/>
      </c>
      <c r="L270" t="str">
        <f>IF('clean air'!F22="Not Comply",T('clean air'!K22)&amp;"♦"&amp;T('clean air'!B22)&amp;"♦"&amp;T('clean air'!G22)&amp;"♦"&amp;T('clean air'!H22),"")</f>
        <v/>
      </c>
    </row>
    <row r="271" spans="11:12">
      <c r="K271" t="str">
        <f>IF('clean air'!F23="Not Comply",MAX($K$4:K270)+1,"")</f>
        <v/>
      </c>
      <c r="L271" t="str">
        <f>IF('clean air'!F23="Not Comply",T('clean air'!K23)&amp;"♦"&amp;T('clean air'!B23)&amp;"♦"&amp;T('clean air'!G23)&amp;"♦"&amp;T('clean air'!H23),"")</f>
        <v/>
      </c>
    </row>
    <row r="272" spans="11:12">
      <c r="K272" t="str">
        <f>IF('clean air'!F24="Not Comply",MAX($K$4:K271)+1,"")</f>
        <v/>
      </c>
      <c r="L272" t="str">
        <f>IF('clean air'!F24="Not Comply",T('clean air'!K24)&amp;"♦"&amp;T('clean air'!B24)&amp;"♦"&amp;T('clean air'!G24)&amp;"♦"&amp;T('clean air'!H24),"")</f>
        <v/>
      </c>
    </row>
    <row r="273" spans="11:12">
      <c r="K273" t="str">
        <f>IF('clean air'!F25="Not Comply",MAX($K$4:K272)+1,"")</f>
        <v/>
      </c>
      <c r="L273" t="str">
        <f>IF('clean air'!F25="Not Comply",T('clean air'!K25)&amp;"♦"&amp;T('clean air'!B25)&amp;"♦"&amp;T('clean air'!G25)&amp;"♦"&amp;T('clean air'!H25),"")</f>
        <v/>
      </c>
    </row>
    <row r="274" spans="11:12">
      <c r="K274" t="str">
        <f>IF('clean air'!F26="Not Comply",MAX($K$4:K273)+1,"")</f>
        <v/>
      </c>
      <c r="L274" t="str">
        <f>IF('clean air'!F26="Not Comply",T('clean air'!K26)&amp;"♦"&amp;T('clean air'!B26)&amp;"♦"&amp;T('clean air'!G26)&amp;"♦"&amp;T('clean air'!H26),"")</f>
        <v/>
      </c>
    </row>
    <row r="275" spans="11:12">
      <c r="K275" t="str">
        <f>IF('clean air'!F27="Not Comply",MAX($K$4:K274)+1,"")</f>
        <v/>
      </c>
      <c r="L275" t="str">
        <f>IF('clean air'!F27="Not Comply",T('clean air'!K27)&amp;"♦"&amp;T('clean air'!B27)&amp;"♦"&amp;T('clean air'!G27)&amp;"♦"&amp;T('clean air'!H27),"")</f>
        <v/>
      </c>
    </row>
    <row r="276" spans="11:12">
      <c r="K276" t="str">
        <f>IF(effluent!F4="Not Comply",MAX($K$4:K275)+1,"")</f>
        <v/>
      </c>
      <c r="L276" t="str">
        <f>IF(effluent!F4="Not Comply",T(effluent!K4)&amp;"♦"&amp;T(effluent!B4)&amp;"♦"&amp;T(effluent!G4)&amp;"♦"&amp;T(effluent!H4),"")</f>
        <v/>
      </c>
    </row>
    <row r="277" spans="11:12">
      <c r="K277" t="str">
        <f>IF(effluent!F5="Not Comply",MAX($K$4:K276)+1,"")</f>
        <v/>
      </c>
      <c r="L277" t="str">
        <f>IF(effluent!F5="Not Comply",T(effluent!K5)&amp;"♦"&amp;T(effluent!B5)&amp;"♦"&amp;T(effluent!G5)&amp;"♦"&amp;T(effluent!H5),"")</f>
        <v/>
      </c>
    </row>
    <row r="278" spans="11:12">
      <c r="K278" t="str">
        <f>IF(effluent!F6="Not Comply",MAX($K$4:K277)+1,"")</f>
        <v/>
      </c>
      <c r="L278" t="str">
        <f>IF(effluent!F6="Not Comply",T(effluent!K6)&amp;"♦"&amp;T(effluent!B6)&amp;"♦"&amp;T(effluent!G6)&amp;"♦"&amp;T(effluent!H6),"")</f>
        <v/>
      </c>
    </row>
    <row r="279" spans="11:12">
      <c r="K279" t="str">
        <f>IF(effluent!F7="Not Comply",MAX($K$4:K278)+1,"")</f>
        <v/>
      </c>
      <c r="L279" t="str">
        <f>IF(effluent!F7="Not Comply",T(effluent!K7)&amp;"♦"&amp;T(effluent!B7)&amp;"♦"&amp;T(effluent!G7)&amp;"♦"&amp;T(effluent!H7),"")</f>
        <v/>
      </c>
    </row>
    <row r="280" spans="11:12">
      <c r="K280" t="str">
        <f>IF(effluent!F8="Not Comply",MAX($K$4:K279)+1,"")</f>
        <v/>
      </c>
      <c r="L280" t="str">
        <f>IF(effluent!F8="Not Comply",T(effluent!K8)&amp;"♦"&amp;T(effluent!B8)&amp;"♦"&amp;T(effluent!G8)&amp;"♦"&amp;T(effluent!H8),"")</f>
        <v/>
      </c>
    </row>
    <row r="281" spans="11:12">
      <c r="K281" t="str">
        <f>IF(effluent!F9="Not Comply",MAX($K$4:K280)+1,"")</f>
        <v/>
      </c>
      <c r="L281" t="str">
        <f>IF(effluent!F9="Not Comply",T(effluent!K9)&amp;"♦"&amp;T(effluent!B9)&amp;"♦"&amp;T(effluent!G9)&amp;"♦"&amp;T(effluent!H9),"")</f>
        <v/>
      </c>
    </row>
    <row r="282" spans="11:12">
      <c r="K282" t="str">
        <f>IF(effluent!F10="Not Comply",MAX($K$4:K281)+1,"")</f>
        <v/>
      </c>
      <c r="L282" t="str">
        <f>IF(effluent!F10="Not Comply",T(effluent!K10)&amp;"♦"&amp;T(effluent!B10)&amp;"♦"&amp;T(effluent!G10)&amp;"♦"&amp;T(effluent!H10),"")</f>
        <v/>
      </c>
    </row>
    <row r="283" spans="11:12">
      <c r="K283" t="str">
        <f>IF(effluent!F11="Not Comply",MAX($K$4:K282)+1,"")</f>
        <v/>
      </c>
      <c r="L283" t="str">
        <f>IF(effluent!F11="Not Comply",T(effluent!K11)&amp;"♦"&amp;T(effluent!B11)&amp;"♦"&amp;T(effluent!G11)&amp;"♦"&amp;T(effluent!H11),"")</f>
        <v/>
      </c>
    </row>
    <row r="284" spans="11:12">
      <c r="K284" t="str">
        <f>IF(effluent!F12="Not Comply",MAX($K$4:K283)+1,"")</f>
        <v/>
      </c>
      <c r="L284" t="str">
        <f>IF(effluent!F12="Not Comply",T(effluent!K12)&amp;"♦"&amp;T(effluent!B12)&amp;"♦"&amp;T(effluent!G12)&amp;"♦"&amp;T(effluent!H12),"")</f>
        <v/>
      </c>
    </row>
    <row r="285" spans="11:12">
      <c r="K285" t="str">
        <f>IF(effluent!F13="Not Comply",MAX($K$4:K284)+1,"")</f>
        <v/>
      </c>
      <c r="L285" t="str">
        <f>IF(effluent!F13="Not Comply",T(effluent!K13)&amp;"♦"&amp;T(effluent!B13)&amp;"♦"&amp;T(effluent!G13)&amp;"♦"&amp;T(effluent!H13),"")</f>
        <v/>
      </c>
    </row>
    <row r="286" spans="11:12">
      <c r="K286" t="str">
        <f>IF(effluent!F14="Not Comply",MAX($K$4:K285)+1,"")</f>
        <v/>
      </c>
      <c r="L286" t="str">
        <f>IF(effluent!F14="Not Comply",T(effluent!K14)&amp;"♦"&amp;T(effluent!B14)&amp;"♦"&amp;T(effluent!G14)&amp;"♦"&amp;T(effluent!H14),"")</f>
        <v/>
      </c>
    </row>
    <row r="287" spans="11:12">
      <c r="K287" t="str">
        <f>IF(effluent!F15="Not Comply",MAX($K$4:K286)+1,"")</f>
        <v/>
      </c>
      <c r="L287" t="str">
        <f>IF(effluent!F15="Not Comply",T(effluent!K15)&amp;"♦"&amp;T(effluent!B15)&amp;"♦"&amp;T(effluent!G15)&amp;"♦"&amp;T(effluent!H15),"")</f>
        <v/>
      </c>
    </row>
    <row r="288" spans="11:12">
      <c r="K288" t="str">
        <f>IF(effluent!F16="Not Comply",MAX($K$4:K287)+1,"")</f>
        <v/>
      </c>
      <c r="L288" t="str">
        <f>IF(effluent!F16="Not Comply",T(effluent!K16)&amp;"♦"&amp;T(effluent!B16)&amp;"♦"&amp;T(effluent!G16)&amp;"♦"&amp;T(effluent!H16),"")</f>
        <v/>
      </c>
    </row>
    <row r="289" spans="11:12">
      <c r="K289" t="str">
        <f>IF(effluent!F17="Not Comply",MAX($K$4:K288)+1,"")</f>
        <v/>
      </c>
      <c r="L289" t="str">
        <f>IF(effluent!F17="Not Comply",T(effluent!K17)&amp;"♦"&amp;T(effluent!B17)&amp;"♦"&amp;T(effluent!G17)&amp;"♦"&amp;T(effluent!H17),"")</f>
        <v/>
      </c>
    </row>
    <row r="290" spans="11:12">
      <c r="K290" t="str">
        <f>IF(effluent!F18="Not Comply",MAX($K$4:K289)+1,"")</f>
        <v/>
      </c>
      <c r="L290" t="str">
        <f>IF(effluent!F18="Not Comply",T(effluent!K18)&amp;"♦"&amp;T(effluent!B18)&amp;"♦"&amp;T(effluent!G18)&amp;"♦"&amp;T(effluent!H18),"")</f>
        <v/>
      </c>
    </row>
    <row r="291" spans="11:12">
      <c r="K291" t="str">
        <f>IF(effluent!F19="Not Comply",MAX($K$4:K290)+1,"")</f>
        <v/>
      </c>
      <c r="L291" t="str">
        <f>IF(effluent!F19="Not Comply",T(effluent!K19)&amp;"♦"&amp;T(effluent!B19)&amp;"♦"&amp;T(effluent!G19)&amp;"♦"&amp;T(effluent!H19),"")</f>
        <v/>
      </c>
    </row>
    <row r="292" spans="11:12">
      <c r="K292" t="str">
        <f>IF(effluent!F20="Not Comply",MAX($K$4:K291)+1,"")</f>
        <v/>
      </c>
      <c r="L292" t="str">
        <f>IF(effluent!F20="Not Comply",T(effluent!K20)&amp;"♦"&amp;T(effluent!B20)&amp;"♦"&amp;T(effluent!G20)&amp;"♦"&amp;T(effluent!H20),"")</f>
        <v/>
      </c>
    </row>
    <row r="293" spans="11:12">
      <c r="K293" t="str">
        <f>IF(effluent!F21="Not Comply",MAX($K$4:K292)+1,"")</f>
        <v/>
      </c>
      <c r="L293" t="str">
        <f>IF(effluent!F21="Not Comply",T(effluent!K21)&amp;"♦"&amp;T(effluent!B21)&amp;"♦"&amp;T(effluent!G21)&amp;"♦"&amp;T(effluent!H21),"")</f>
        <v/>
      </c>
    </row>
    <row r="294" spans="11:12">
      <c r="K294" t="str">
        <f>IF(effluent!F22="Not Comply",MAX($K$4:K293)+1,"")</f>
        <v/>
      </c>
      <c r="L294" t="str">
        <f>IF(effluent!F22="Not Comply",T(effluent!K22)&amp;"♦"&amp;T(effluent!B22)&amp;"♦"&amp;T(effluent!G22)&amp;"♦"&amp;T(effluent!H22),"")</f>
        <v/>
      </c>
    </row>
    <row r="295" spans="11:12">
      <c r="K295" t="str">
        <f>IF(effluent!F23="Not Comply",MAX($K$4:K294)+1,"")</f>
        <v/>
      </c>
      <c r="L295" t="str">
        <f>IF(effluent!F23="Not Comply",T(effluent!K23)&amp;"♦"&amp;T(effluent!B23)&amp;"♦"&amp;T(effluent!G23)&amp;"♦"&amp;T(effluent!H23),"")</f>
        <v/>
      </c>
    </row>
    <row r="296" spans="11:12">
      <c r="K296" t="str">
        <f>IF(effluent!F24="Not Comply",MAX($K$4:K295)+1,"")</f>
        <v/>
      </c>
      <c r="L296" t="str">
        <f>IF(effluent!F24="Not Comply",T(effluent!K24)&amp;"♦"&amp;T(effluent!B24)&amp;"♦"&amp;T(effluent!G24)&amp;"♦"&amp;T(effluent!H24),"")</f>
        <v/>
      </c>
    </row>
    <row r="297" spans="11:12">
      <c r="K297" t="str">
        <f>IF(effluent!F25="Not Comply",MAX($K$4:K296)+1,"")</f>
        <v/>
      </c>
      <c r="L297" t="str">
        <f>IF(effluent!F25="Not Comply",T(effluent!K25)&amp;"♦"&amp;T(effluent!B25)&amp;"♦"&amp;T(effluent!G25)&amp;"♦"&amp;T(effluent!H25),"")</f>
        <v/>
      </c>
    </row>
    <row r="298" spans="11:12">
      <c r="K298" t="str">
        <f>IF(effluent!F26="Not Comply",MAX($K$4:K297)+1,"")</f>
        <v/>
      </c>
      <c r="L298" t="str">
        <f>IF(effluent!F26="Not Comply",T(effluent!K26)&amp;"♦"&amp;T(effluent!B26)&amp;"♦"&amp;T(effluent!G26)&amp;"♦"&amp;T(effluent!H26),"")</f>
        <v/>
      </c>
    </row>
    <row r="299" spans="11:12">
      <c r="K299" t="str">
        <f>IF(USECHH!F4="Not Comply",MAX($K$4:K298)+1,"")</f>
        <v/>
      </c>
      <c r="L299" t="str">
        <f>IF(USECHH!F4="Not Comply",T(USECHH!K4)&amp;"♦"&amp;T(USECHH!B4)&amp;"♦"&amp;T(USECHH!G4)&amp;"♦"&amp;T(USECHH!H4),"")</f>
        <v/>
      </c>
    </row>
    <row r="300" spans="11:12">
      <c r="K300" t="str">
        <f>IF(USECHH!F5="Not Comply",MAX($K$4:K299)+1,"")</f>
        <v/>
      </c>
      <c r="L300" t="str">
        <f>IF(USECHH!F5="Not Comply",T(USECHH!K5)&amp;"♦"&amp;T(USECHH!B5)&amp;"♦"&amp;T(USECHH!G5)&amp;"♦"&amp;T(USECHH!H5),"")</f>
        <v/>
      </c>
    </row>
    <row r="301" spans="11:12">
      <c r="K301" t="str">
        <f>IF(USECHH!F6="Not Comply",MAX($K$4:K300)+1,"")</f>
        <v/>
      </c>
      <c r="L301" t="str">
        <f>IF(USECHH!F6="Not Comply",T(USECHH!K6)&amp;"♦"&amp;T(USECHH!B6)&amp;"♦"&amp;T(USECHH!G6)&amp;"♦"&amp;T(USECHH!H6),"")</f>
        <v/>
      </c>
    </row>
    <row r="302" spans="11:12">
      <c r="K302" t="str">
        <f>IF(USECHH!F7="Not Comply",MAX($K$4:K301)+1,"")</f>
        <v/>
      </c>
      <c r="L302" t="str">
        <f>IF(USECHH!F7="Not Comply",T(USECHH!K7)&amp;"♦"&amp;T(USECHH!B7)&amp;"♦"&amp;T(USECHH!G7)&amp;"♦"&amp;T(USECHH!H7),"")</f>
        <v/>
      </c>
    </row>
    <row r="303" spans="11:12">
      <c r="K303" t="str">
        <f>IF(USECHH!F8="Not Comply",MAX($K$4:K302)+1,"")</f>
        <v/>
      </c>
      <c r="L303" t="str">
        <f>IF(USECHH!F8="Not Comply",T(USECHH!K8)&amp;"♦"&amp;T(USECHH!B8)&amp;"♦"&amp;T(USECHH!G8)&amp;"♦"&amp;T(USECHH!H8),"")</f>
        <v/>
      </c>
    </row>
    <row r="304" spans="11:12">
      <c r="K304" t="str">
        <f>IF(USECHH!F9="Not Comply",MAX($K$4:K303)+1,"")</f>
        <v/>
      </c>
      <c r="L304" t="str">
        <f>IF(USECHH!F9="Not Comply",T(USECHH!K9)&amp;"♦"&amp;T(USECHH!B9)&amp;"♦"&amp;T(USECHH!G9)&amp;"♦"&amp;T(USECHH!H9),"")</f>
        <v/>
      </c>
    </row>
    <row r="305" spans="11:12">
      <c r="K305" t="str">
        <f>IF(USECHH!F10="Not Comply",MAX($K$4:K304)+1,"")</f>
        <v/>
      </c>
      <c r="L305" t="str">
        <f>IF(USECHH!F10="Not Comply",T(USECHH!K10)&amp;"♦"&amp;T(USECHH!B10)&amp;"♦"&amp;T(USECHH!G10)&amp;"♦"&amp;T(USECHH!H10),"")</f>
        <v/>
      </c>
    </row>
    <row r="306" spans="11:12">
      <c r="K306" t="str">
        <f>IF(USECHH!F11="Not Comply",MAX($K$4:K305)+1,"")</f>
        <v/>
      </c>
      <c r="L306" t="str">
        <f>IF(USECHH!F11="Not Comply",T(USECHH!K11)&amp;"♦"&amp;T(USECHH!B11)&amp;"♦"&amp;T(USECHH!G11)&amp;"♦"&amp;T(USECHH!H11),"")</f>
        <v/>
      </c>
    </row>
    <row r="307" spans="11:12">
      <c r="K307" t="str">
        <f>IF(USECHH!F12="Not Comply",MAX($K$4:K306)+1,"")</f>
        <v/>
      </c>
      <c r="L307" t="str">
        <f>IF(USECHH!F12="Not Comply",T(USECHH!K12)&amp;"♦"&amp;T(USECHH!B12)&amp;"♦"&amp;T(USECHH!G12)&amp;"♦"&amp;T(USECHH!H12),"")</f>
        <v/>
      </c>
    </row>
    <row r="308" spans="11:12">
      <c r="K308" t="str">
        <f>IF(USECHH!F13="Not Comply",MAX($K$4:K307)+1,"")</f>
        <v/>
      </c>
      <c r="L308" t="str">
        <f>IF(USECHH!F13="Not Comply",T(USECHH!K13)&amp;"♦"&amp;T(USECHH!B13)&amp;"♦"&amp;T(USECHH!G13)&amp;"♦"&amp;T(USECHH!H13),"")</f>
        <v/>
      </c>
    </row>
    <row r="309" spans="11:12">
      <c r="K309" t="str">
        <f>IF(USECHH!F14="Not Comply",MAX($K$4:K308)+1,"")</f>
        <v/>
      </c>
      <c r="L309" t="str">
        <f>IF(USECHH!F14="Not Comply",T(USECHH!K14)&amp;"♦"&amp;T(USECHH!B14)&amp;"♦"&amp;T(USECHH!G14)&amp;"♦"&amp;T(USECHH!H14),"")</f>
        <v/>
      </c>
    </row>
    <row r="310" spans="11:12">
      <c r="K310" t="str">
        <f>IF(USECHH!F15="Not Comply",MAX($K$4:K309)+1,"")</f>
        <v/>
      </c>
      <c r="L310" t="str">
        <f>IF(USECHH!F15="Not Comply",T(USECHH!K15)&amp;"♦"&amp;T(USECHH!B15)&amp;"♦"&amp;T(USECHH!G15)&amp;"♦"&amp;T(USECHH!H15),"")</f>
        <v/>
      </c>
    </row>
    <row r="311" spans="11:12">
      <c r="K311" t="str">
        <f>IF(USECHH!F16="Not Comply",MAX($K$4:K310)+1,"")</f>
        <v/>
      </c>
      <c r="L311" t="str">
        <f>IF(USECHH!F16="Not Comply",T(USECHH!K16)&amp;"♦"&amp;T(USECHH!B16)&amp;"♦"&amp;T(USECHH!G16)&amp;"♦"&amp;T(USECHH!H16),"")</f>
        <v/>
      </c>
    </row>
    <row r="312" spans="11:12">
      <c r="K312" t="str">
        <f>IF(USECHH!F17="Not Comply",MAX($K$4:K311)+1,"")</f>
        <v/>
      </c>
      <c r="L312" t="str">
        <f>IF(USECHH!F17="Not Comply",T(USECHH!K17)&amp;"♦"&amp;T(USECHH!B17)&amp;"♦"&amp;T(USECHH!G17)&amp;"♦"&amp;T(USECHH!H17),"")</f>
        <v/>
      </c>
    </row>
    <row r="313" spans="11:12">
      <c r="K313" t="str">
        <f>IF(USECHH!F18="Not Comply",MAX($K$4:K312)+1,"")</f>
        <v/>
      </c>
      <c r="L313" t="str">
        <f>IF(USECHH!F18="Not Comply",T(USECHH!K18)&amp;"♦"&amp;T(USECHH!B18)&amp;"♦"&amp;T(USECHH!G18)&amp;"♦"&amp;T(USECHH!H18),"")</f>
        <v/>
      </c>
    </row>
    <row r="314" spans="11:12">
      <c r="K314" t="str">
        <f>IF(USECHH!F19="Not Comply",MAX($K$4:K313)+1,"")</f>
        <v/>
      </c>
      <c r="L314" t="str">
        <f>IF(USECHH!F19="Not Comply",T(USECHH!K19)&amp;"♦"&amp;T(USECHH!B19)&amp;"♦"&amp;T(USECHH!G19)&amp;"♦"&amp;T(USECHH!H19),"")</f>
        <v/>
      </c>
    </row>
    <row r="315" spans="11:12">
      <c r="K315" t="str">
        <f>IF(USECHH!F20="Not Comply",MAX($K$4:K314)+1,"")</f>
        <v/>
      </c>
      <c r="L315" t="str">
        <f>IF(USECHH!F20="Not Comply",T(USECHH!K20)&amp;"♦"&amp;T(USECHH!B20)&amp;"♦"&amp;T(USECHH!G20)&amp;"♦"&amp;T(USECHH!H20),"")</f>
        <v/>
      </c>
    </row>
    <row r="316" spans="11:12">
      <c r="K316" t="str">
        <f>IF(USECHH!F21="Not Comply",MAX($K$4:K315)+1,"")</f>
        <v/>
      </c>
      <c r="L316" t="str">
        <f>IF(USECHH!F21="Not Comply",T(USECHH!K21)&amp;"♦"&amp;T(USECHH!B21)&amp;"♦"&amp;T(USECHH!G21)&amp;"♦"&amp;T(USECHH!H21),"")</f>
        <v/>
      </c>
    </row>
    <row r="317" spans="11:12">
      <c r="K317" t="str">
        <f>IF(USECHH!F22="Not Comply",MAX($K$4:K316)+1,"")</f>
        <v/>
      </c>
      <c r="L317" t="str">
        <f>IF(USECHH!F22="Not Comply",T(USECHH!K22)&amp;"♦"&amp;T(USECHH!B22)&amp;"♦"&amp;T(USECHH!G22)&amp;"♦"&amp;T(USECHH!H22),"")</f>
        <v/>
      </c>
    </row>
    <row r="318" spans="11:12">
      <c r="K318" t="str">
        <f>IF(USECHH!F23="Not Comply",MAX($K$4:K317)+1,"")</f>
        <v/>
      </c>
      <c r="L318" t="str">
        <f>IF(USECHH!F23="Not Comply",T(USECHH!K23)&amp;"♦"&amp;T(USECHH!B23)&amp;"♦"&amp;T(USECHH!G23)&amp;"♦"&amp;T(USECHH!H23),"")</f>
        <v/>
      </c>
    </row>
    <row r="319" spans="11:12">
      <c r="K319" t="str">
        <f>IF(USECHH!F24="Not Comply",MAX($K$4:K318)+1,"")</f>
        <v/>
      </c>
      <c r="L319" t="str">
        <f>IF(USECHH!F24="Not Comply",T(USECHH!K24)&amp;"♦"&amp;T(USECHH!B24)&amp;"♦"&amp;T(USECHH!G24)&amp;"♦"&amp;T(USECHH!H24),"")</f>
        <v/>
      </c>
    </row>
    <row r="320" spans="11:12">
      <c r="K320" t="str">
        <f>IF(USECHH!F25="Not Comply",MAX($K$4:K319)+1,"")</f>
        <v/>
      </c>
      <c r="L320" t="str">
        <f>IF(USECHH!F25="Not Comply",T(USECHH!K25)&amp;"♦"&amp;T(USECHH!B25)&amp;"♦"&amp;T(USECHH!G25)&amp;"♦"&amp;T(USECHH!H25),"")</f>
        <v/>
      </c>
    </row>
    <row r="321" spans="11:12">
      <c r="K321" t="str">
        <f>IF(USECHH!F26="Not Comply",MAX($K$4:K320)+1,"")</f>
        <v/>
      </c>
      <c r="L321" t="str">
        <f>IF(USECHH!F26="Not Comply",T(USECHH!K26)&amp;"♦"&amp;T(USECHH!B26)&amp;"♦"&amp;T(USECHH!G26)&amp;"♦"&amp;T(USECHH!H26),"")</f>
        <v/>
      </c>
    </row>
    <row r="322" spans="11:12">
      <c r="K322" t="str">
        <f>IF(USECHH!F27="Not Comply",MAX($K$4:K321)+1,"")</f>
        <v/>
      </c>
      <c r="L322" t="str">
        <f>IF(USECHH!F27="Not Comply",T(USECHH!K27)&amp;"♦"&amp;T(USECHH!B27)&amp;"♦"&amp;T(USECHH!G27)&amp;"♦"&amp;T(USECHH!H27),"")</f>
        <v/>
      </c>
    </row>
    <row r="323" spans="11:12">
      <c r="K323" t="str">
        <f>IF(USECHH!F28="Not Comply",MAX($K$4:K322)+1,"")</f>
        <v/>
      </c>
      <c r="L323" t="str">
        <f>IF(USECHH!F28="Not Comply",T(USECHH!K28)&amp;"♦"&amp;T(USECHH!B28)&amp;"♦"&amp;T(USECHH!G28)&amp;"♦"&amp;T(USECHH!H28),"")</f>
        <v/>
      </c>
    </row>
    <row r="324" spans="11:12">
      <c r="K324" t="str">
        <f>IF(USECHH!F29="Not Comply",MAX($K$4:K323)+1,"")</f>
        <v/>
      </c>
      <c r="L324" t="str">
        <f>IF(USECHH!F29="Not Comply",T(USECHH!K29)&amp;"♦"&amp;T(USECHH!B29)&amp;"♦"&amp;T(USECHH!G29)&amp;"♦"&amp;T(USECHH!H29),"")</f>
        <v/>
      </c>
    </row>
    <row r="325" spans="11:12">
      <c r="K325" t="str">
        <f>IF(USECHH!F30="Not Comply",MAX($K$4:K324)+1,"")</f>
        <v/>
      </c>
      <c r="L325" t="str">
        <f>IF(USECHH!F30="Not Comply",T(USECHH!K30)&amp;"♦"&amp;T(USECHH!B30)&amp;"♦"&amp;T(USECHH!G30)&amp;"♦"&amp;T(USECHH!H30),"")</f>
        <v/>
      </c>
    </row>
    <row r="326" spans="11:12">
      <c r="K326" t="str">
        <f>IF(USECHH!F31="Not Comply",MAX($K$4:K325)+1,"")</f>
        <v/>
      </c>
      <c r="L326" t="str">
        <f>IF(USECHH!F31="Not Comply",T(USECHH!K31)&amp;"♦"&amp;T(USECHH!B31)&amp;"♦"&amp;T(USECHH!G31)&amp;"♦"&amp;T(USECHH!H31),"")</f>
        <v/>
      </c>
    </row>
    <row r="327" spans="11:12">
      <c r="K327" t="str">
        <f>IF(CF!F4="Not Comply",MAX($K$4:K326)+1,"")</f>
        <v/>
      </c>
      <c r="L327" t="str">
        <f>IF(CF!F4="Not Comply",T(CF!K4)&amp;"♦"&amp;T(CF!B4)&amp;"♦"&amp;T(CF!G4)&amp;"♦"&amp;T(CF!H4),"")</f>
        <v/>
      </c>
    </row>
    <row r="328" spans="11:12">
      <c r="K328" t="str">
        <f>IF(CF!F5="Not Comply",MAX($K$4:K327)+1,"")</f>
        <v/>
      </c>
      <c r="L328" t="str">
        <f>IF(CF!F5="Not Comply",T(CF!K5)&amp;"♦"&amp;T(CF!B5)&amp;"♦"&amp;T(CF!G5)&amp;"♦"&amp;T(CF!H5),"")</f>
        <v/>
      </c>
    </row>
    <row r="329" spans="11:12">
      <c r="K329" t="str">
        <f>IF(CF!F6="Not Comply",MAX($K$4:K328)+1,"")</f>
        <v/>
      </c>
      <c r="L329" t="str">
        <f>IF(CF!F6="Not Comply",T(CF!K6)&amp;"♦"&amp;T(CF!B6)&amp;"♦"&amp;T(CF!G6)&amp;"♦"&amp;T(CF!H6),"")</f>
        <v/>
      </c>
    </row>
    <row r="330" spans="11:12">
      <c r="K330" t="str">
        <f>IF(CF!F7="Not Comply",MAX($K$4:K329)+1,"")</f>
        <v/>
      </c>
      <c r="L330" t="str">
        <f>IF(CF!F7="Not Comply",T(CF!K7)&amp;"♦"&amp;T(CF!B7)&amp;"♦"&amp;T(CF!G7)&amp;"♦"&amp;T(CF!H7),"")</f>
        <v/>
      </c>
    </row>
    <row r="331" spans="11:12">
      <c r="K331" t="str">
        <f>IF(CF!F8="Not Comply",MAX($K$4:K330)+1,"")</f>
        <v/>
      </c>
      <c r="L331" t="str">
        <f>IF(CF!F8="Not Comply",T(CF!K8)&amp;"♦"&amp;T(CF!B8)&amp;"♦"&amp;T(CF!G8)&amp;"♦"&amp;T(CF!H8),"")</f>
        <v/>
      </c>
    </row>
    <row r="332" spans="11:12">
      <c r="K332" t="str">
        <f>IF(CF!F9="Not Comply",MAX($K$4:K331)+1,"")</f>
        <v/>
      </c>
      <c r="L332" t="str">
        <f>IF(CF!F9="Not Comply",T(CF!K9)&amp;"♦"&amp;T(CF!B9)&amp;"♦"&amp;T(CF!G9)&amp;"♦"&amp;T(CF!H9),"")</f>
        <v/>
      </c>
    </row>
    <row r="333" spans="11:12">
      <c r="K333" t="str">
        <f>IF(CF!F10="Not Comply",MAX($K$4:K332)+1,"")</f>
        <v/>
      </c>
      <c r="L333" t="str">
        <f>IF(CF!F10="Not Comply",T(CF!K10)&amp;"♦"&amp;T(CF!B10)&amp;"♦"&amp;T(CF!G10)&amp;"♦"&amp;T(CF!H10),"")</f>
        <v/>
      </c>
    </row>
    <row r="334" spans="11:12">
      <c r="K334" t="str">
        <f>IF(CF!F11="Not Comply",MAX($K$4:K333)+1,"")</f>
        <v/>
      </c>
      <c r="L334" t="str">
        <f>IF(CF!F11="Not Comply",T(CF!K11)&amp;"♦"&amp;T(CF!B11)&amp;"♦"&amp;T(CF!G11)&amp;"♦"&amp;T(CF!H11),"")</f>
        <v/>
      </c>
    </row>
    <row r="335" spans="11:12">
      <c r="K335" t="str">
        <f>IF(CF!F12="Not Comply",MAX($K$4:K334)+1,"")</f>
        <v/>
      </c>
      <c r="L335" t="str">
        <f>IF(CF!F12="Not Comply",T(CF!K12)&amp;"♦"&amp;T(CF!B12)&amp;"♦"&amp;T(CF!G12)&amp;"♦"&amp;T(CF!H12),"")</f>
        <v/>
      </c>
    </row>
    <row r="336" spans="11:12">
      <c r="K336" t="str">
        <f>IF(CF!F13="Not Comply",MAX($K$4:K335)+1,"")</f>
        <v/>
      </c>
      <c r="L336" t="str">
        <f>IF(CF!F13="Not Comply",T(CF!K13)&amp;"♦"&amp;T(CF!B13)&amp;"♦"&amp;T(CF!G13)&amp;"♦"&amp;T(CF!H13),"")</f>
        <v/>
      </c>
    </row>
    <row r="337" spans="11:12">
      <c r="K337" t="str">
        <f>IF(CF!F14="Not Comply",MAX($K$4:K336)+1,"")</f>
        <v/>
      </c>
      <c r="L337" t="str">
        <f>IF(CF!F14="Not Comply",T(CF!K14)&amp;"♦"&amp;T(CF!B14)&amp;"♦"&amp;T(CF!G14)&amp;"♦"&amp;T(CF!H14),"")</f>
        <v/>
      </c>
    </row>
    <row r="338" spans="11:12">
      <c r="K338" t="str">
        <f>IF(CF!F15="Not Comply",MAX($K$4:K337)+1,"")</f>
        <v/>
      </c>
      <c r="L338" t="str">
        <f>IF(CF!F15="Not Comply",T(CF!K15)&amp;"♦"&amp;T(CF!B15)&amp;"♦"&amp;T(CF!G15)&amp;"♦"&amp;T(CF!H15),"")</f>
        <v/>
      </c>
    </row>
    <row r="339" spans="11:12">
      <c r="K339" t="str">
        <f>IF(CF!F16="Not Comply",MAX($K$4:K338)+1,"")</f>
        <v/>
      </c>
      <c r="L339" t="str">
        <f>IF(CF!F16="Not Comply",T(CF!K16)&amp;"♦"&amp;T(CF!B16)&amp;"♦"&amp;T(CF!G16)&amp;"♦"&amp;T(CF!H16),"")</f>
        <v/>
      </c>
    </row>
    <row r="340" spans="11:12">
      <c r="K340" t="str">
        <f>IF(CF!F17="Not Comply",MAX($K$4:K339)+1,"")</f>
        <v/>
      </c>
      <c r="L340" t="str">
        <f>IF(CF!F17="Not Comply",T(CF!K17)&amp;"♦"&amp;T(CF!B17)&amp;"♦"&amp;T(CF!G17)&amp;"♦"&amp;T(CF!H17),"")</f>
        <v/>
      </c>
    </row>
    <row r="341" spans="11:12">
      <c r="K341" t="str">
        <f>IF(CF!F18="Not Comply",MAX($K$4:K340)+1,"")</f>
        <v/>
      </c>
      <c r="L341" t="str">
        <f>IF(CF!F18="Not Comply",T(CF!K18)&amp;"♦"&amp;T(CF!B18)&amp;"♦"&amp;T(CF!G18)&amp;"♦"&amp;T(CF!H18),"")</f>
        <v/>
      </c>
    </row>
    <row r="342" spans="11:12">
      <c r="K342" t="str">
        <f>IF(CF!F19="Not Comply",MAX($K$4:K341)+1,"")</f>
        <v/>
      </c>
      <c r="L342" t="str">
        <f>IF(CF!F19="Not Comply",T(CF!K19)&amp;"♦"&amp;T(CF!B19)&amp;"♦"&amp;T(CF!G19)&amp;"♦"&amp;T(CF!H19),"")</f>
        <v/>
      </c>
    </row>
    <row r="343" spans="11:12">
      <c r="K343" t="str">
        <f>IF(CF!F20="Not Comply",MAX($K$4:K342)+1,"")</f>
        <v/>
      </c>
      <c r="L343" t="str">
        <f>IF(CF!F20="Not Comply",T(CF!K20)&amp;"♦"&amp;T(CF!B20)&amp;"♦"&amp;T(CF!G20)&amp;"♦"&amp;T(CF!H20),"")</f>
        <v/>
      </c>
    </row>
    <row r="344" spans="11:12">
      <c r="K344" t="str">
        <f>IF(CF!F21="Not Comply",MAX($K$4:K343)+1,"")</f>
        <v/>
      </c>
      <c r="L344" t="str">
        <f>IF(CF!F21="Not Comply",T(CF!K21)&amp;"♦"&amp;T(CF!B21)&amp;"♦"&amp;T(CF!G21)&amp;"♦"&amp;T(CF!H21),"")</f>
        <v/>
      </c>
    </row>
    <row r="345" spans="11:12">
      <c r="K345" t="str">
        <f>IF(CF!F22="Not Comply",MAX($K$4:K344)+1,"")</f>
        <v/>
      </c>
      <c r="L345" t="str">
        <f>IF(CF!F22="Not Comply",T(CF!K22)&amp;"♦"&amp;T(CF!B22)&amp;"♦"&amp;T(CF!G22)&amp;"♦"&amp;T(CF!H22),"")</f>
        <v/>
      </c>
    </row>
    <row r="346" spans="11:12">
      <c r="K346" t="str">
        <f>IF('pesticides labelling'!F4="Not Comply",MAX($K$4:K345)+1,"")</f>
        <v/>
      </c>
      <c r="L346" t="str">
        <f>IF('pesticides labelling'!F4="Not Comply",T('pesticides labelling'!K4)&amp;"♦"&amp;T('pesticides labelling'!B4)&amp;"♦"&amp;T('pesticides labelling'!G4)&amp;"♦"&amp;T('pesticides labelling'!H4),"")</f>
        <v/>
      </c>
    </row>
    <row r="347" spans="11:12">
      <c r="K347" t="str">
        <f>IF('pesticides labelling'!F5="Not Comply",MAX($K$4:K346)+1,"")</f>
        <v/>
      </c>
      <c r="L347" t="str">
        <f>IF('pesticides labelling'!F5="Not Comply",T('pesticides labelling'!K5)&amp;"♦"&amp;T('pesticides labelling'!B5)&amp;"♦"&amp;T('pesticides labelling'!G5)&amp;"♦"&amp;T('pesticides labelling'!H5),"")</f>
        <v/>
      </c>
    </row>
    <row r="348" spans="11:12">
      <c r="K348" t="str">
        <f>IF('pesticides labelling'!F6="Not Comply",MAX($K$4:K347)+1,"")</f>
        <v/>
      </c>
      <c r="L348" t="str">
        <f>IF('pesticides labelling'!F6="Not Comply",T('pesticides labelling'!K6)&amp;"♦"&amp;T('pesticides labelling'!B6)&amp;"♦"&amp;T('pesticides labelling'!G6)&amp;"♦"&amp;T('pesticides labelling'!H6),"")</f>
        <v/>
      </c>
    </row>
    <row r="349" spans="11:12">
      <c r="K349" t="str">
        <f>IF('pesticides labelling'!F7="Not Comply",MAX($K$4:K348)+1,"")</f>
        <v/>
      </c>
      <c r="L349" t="str">
        <f>IF('pesticides labelling'!F7="Not Comply",T('pesticides labelling'!K7)&amp;"♦"&amp;T('pesticides labelling'!B7)&amp;"♦"&amp;T('pesticides labelling'!G7)&amp;"♦"&amp;T('pesticides labelling'!H7),"")</f>
        <v/>
      </c>
    </row>
    <row r="350" spans="11:12">
      <c r="K350" t="str">
        <f>IF('pesticides labelling'!F8="Not Comply",MAX($K$4:K349)+1,"")</f>
        <v/>
      </c>
      <c r="L350" t="str">
        <f>IF('pesticides labelling'!F8="Not Comply",T('pesticides labelling'!K8)&amp;"♦"&amp;T('pesticides labelling'!B8)&amp;"♦"&amp;T('pesticides labelling'!G8)&amp;"♦"&amp;T('pesticides labelling'!H8),"")</f>
        <v/>
      </c>
    </row>
    <row r="351" spans="11:12">
      <c r="K351" t="str">
        <f>IF('pesticides labelling'!F9="Not Comply",MAX($K$4:K350)+1,"")</f>
        <v/>
      </c>
      <c r="L351" t="str">
        <f>IF('pesticides labelling'!F9="Not Comply",T('pesticides labelling'!K9)&amp;"♦"&amp;T('pesticides labelling'!B9)&amp;"♦"&amp;T('pesticides labelling'!G9)&amp;"♦"&amp;T('pesticides labelling'!H9),"")</f>
        <v/>
      </c>
    </row>
    <row r="352" spans="11:12">
      <c r="K352" t="str">
        <f>IF('pesticides labelling'!F10="Not Comply",MAX($K$4:K351)+1,"")</f>
        <v/>
      </c>
      <c r="L352" t="str">
        <f>IF('pesticides labelling'!F10="Not Comply",T('pesticides labelling'!K10)&amp;"♦"&amp;T('pesticides labelling'!B10)&amp;"♦"&amp;T('pesticides labelling'!G10)&amp;"♦"&amp;T('pesticides labelling'!H10),"")</f>
        <v/>
      </c>
    </row>
    <row r="353" spans="11:12">
      <c r="K353" t="str">
        <f>IF('pesticides labelling'!F11="Not Comply",MAX($K$4:K352)+1,"")</f>
        <v/>
      </c>
      <c r="L353" t="str">
        <f>IF('pesticides labelling'!F11="Not Comply",T('pesticides labelling'!K11)&amp;"♦"&amp;T('pesticides labelling'!B11)&amp;"♦"&amp;T('pesticides labelling'!G11)&amp;"♦"&amp;T('pesticides labelling'!H11),"")</f>
        <v/>
      </c>
    </row>
    <row r="354" spans="11:12">
      <c r="K354" t="str">
        <f>IF('pesticides labelling'!F12="Not Comply",MAX($K$4:K353)+1,"")</f>
        <v/>
      </c>
      <c r="L354" t="str">
        <f>IF('pesticides labelling'!F12="Not Comply",T('pesticides labelling'!K12)&amp;"♦"&amp;T('pesticides labelling'!B12)&amp;"♦"&amp;T('pesticides labelling'!G12)&amp;"♦"&amp;T('pesticides labelling'!H12),"")</f>
        <v/>
      </c>
    </row>
    <row r="355" spans="11:12">
      <c r="K355" t="str">
        <f>IF('pesticides labelling'!F13="Not Comply",MAX($K$4:K354)+1,"")</f>
        <v/>
      </c>
      <c r="L355" t="str">
        <f>IF('pesticides labelling'!F13="Not Comply",T('pesticides labelling'!K13)&amp;"♦"&amp;T('pesticides labelling'!B13)&amp;"♦"&amp;T('pesticides labelling'!G13)&amp;"♦"&amp;T('pesticides labelling'!H13),"")</f>
        <v/>
      </c>
    </row>
    <row r="356" spans="11:12">
      <c r="K356" t="str">
        <f>IF('pesticides labelling'!F14="Not Comply",MAX($K$4:K355)+1,"")</f>
        <v/>
      </c>
      <c r="L356" t="str">
        <f>IF('pesticides labelling'!F14="Not Comply",T('pesticides labelling'!K14)&amp;"♦"&amp;T('pesticides labelling'!B14)&amp;"♦"&amp;T('pesticides labelling'!G14)&amp;"♦"&amp;T('pesticides labelling'!H14),"")</f>
        <v/>
      </c>
    </row>
    <row r="357" spans="11:12">
      <c r="K357" t="str">
        <f>IF('pesticides labelling'!F15="Not Comply",MAX($K$4:K356)+1,"")</f>
        <v/>
      </c>
      <c r="L357" t="str">
        <f>IF('pesticides labelling'!F15="Not Comply",T('pesticides labelling'!K15)&amp;"♦"&amp;T('pesticides labelling'!B15)&amp;"♦"&amp;T('pesticides labelling'!G15)&amp;"♦"&amp;T('pesticides labelling'!H15),"")</f>
        <v/>
      </c>
    </row>
    <row r="358" spans="11:12">
      <c r="K358" t="str">
        <f>IF('pesticides labelling'!F16="Not Comply",MAX($K$4:K357)+1,"")</f>
        <v/>
      </c>
      <c r="L358" t="str">
        <f>IF('pesticides labelling'!F16="Not Comply",T('pesticides labelling'!K16)&amp;"♦"&amp;T('pesticides labelling'!B16)&amp;"♦"&amp;T('pesticides labelling'!G16)&amp;"♦"&amp;T('pesticides labelling'!H16),"")</f>
        <v/>
      </c>
    </row>
    <row r="359" spans="11:12">
      <c r="K359" t="str">
        <f>IF('pesticides labelling'!F17="Not Comply",MAX($K$4:K358)+1,"")</f>
        <v/>
      </c>
      <c r="L359" t="str">
        <f>IF('pesticides labelling'!F17="Not Comply",T('pesticides labelling'!K17)&amp;"♦"&amp;T('pesticides labelling'!B17)&amp;"♦"&amp;T('pesticides labelling'!G17)&amp;"♦"&amp;T('pesticides labelling'!H17),"")</f>
        <v/>
      </c>
    </row>
    <row r="360" spans="11:12">
      <c r="K360" t="str">
        <f>IF('pesticides labelling'!F18="Not Comply",MAX($K$4:K359)+1,"")</f>
        <v/>
      </c>
      <c r="L360" t="str">
        <f>IF('pesticides labelling'!F18="Not Comply",T('pesticides labelling'!K18)&amp;"♦"&amp;T('pesticides labelling'!B18)&amp;"♦"&amp;T('pesticides labelling'!G18)&amp;"♦"&amp;T('pesticides labelling'!H18),"")</f>
        <v/>
      </c>
    </row>
    <row r="361" spans="11:12">
      <c r="K361" t="str">
        <f>IF('pesticides labelling'!F19="Not Comply",MAX($K$4:K360)+1,"")</f>
        <v/>
      </c>
      <c r="L361" t="str">
        <f>IF('pesticides labelling'!F19="Not Comply",T('pesticides labelling'!K19)&amp;"♦"&amp;T('pesticides labelling'!B19)&amp;"♦"&amp;T('pesticides labelling'!G19)&amp;"♦"&amp;T('pesticides labelling'!H19),"")</f>
        <v/>
      </c>
    </row>
    <row r="362" spans="11:12">
      <c r="K362" t="str">
        <f>IF('pesticides labelling'!F20="Not Comply",MAX($K$4:K361)+1,"")</f>
        <v/>
      </c>
      <c r="L362" t="str">
        <f>IF('pesticides labelling'!F20="Not Comply",T('pesticides labelling'!K20)&amp;"♦"&amp;T('pesticides labelling'!B20)&amp;"♦"&amp;T('pesticides labelling'!G20)&amp;"♦"&amp;T('pesticides labelling'!H20),"")</f>
        <v/>
      </c>
    </row>
    <row r="363" spans="11:12">
      <c r="K363" t="str">
        <f>IF('pesticides labelling'!F21="Not Comply",MAX($K$4:K362)+1,"")</f>
        <v/>
      </c>
      <c r="L363" t="str">
        <f>IF('pesticides labelling'!F21="Not Comply",T('pesticides labelling'!K21)&amp;"♦"&amp;T('pesticides labelling'!B21)&amp;"♦"&amp;T('pesticides labelling'!G21)&amp;"♦"&amp;T('pesticides labelling'!H21),"")</f>
        <v/>
      </c>
    </row>
    <row r="364" spans="11:12">
      <c r="K364" t="str">
        <f>IF('pesticides labelling'!F22="Not Comply",MAX($K$4:K363)+1,"")</f>
        <v/>
      </c>
      <c r="L364" t="str">
        <f>IF('pesticides labelling'!F22="Not Comply",T('pesticides labelling'!K22)&amp;"♦"&amp;T('pesticides labelling'!B22)&amp;"♦"&amp;T('pesticides labelling'!G22)&amp;"♦"&amp;T('pesticides labelling'!H22),"")</f>
        <v/>
      </c>
    </row>
    <row r="365" spans="11:12">
      <c r="K365" t="str">
        <f>IF('pesticides labelling'!F23="Not Comply",MAX($K$4:K364)+1,"")</f>
        <v/>
      </c>
      <c r="L365" t="str">
        <f>IF('pesticides labelling'!F23="Not Comply",T('pesticides labelling'!K23)&amp;"♦"&amp;T('pesticides labelling'!B23)&amp;"♦"&amp;T('pesticides labelling'!G23)&amp;"♦"&amp;T('pesticides labelling'!H23),"")</f>
        <v/>
      </c>
    </row>
    <row r="366" spans="11:12">
      <c r="K366" t="str">
        <f>IF(CLASS!F4="Not Comply",MAX($K$4:K365)+1,"")</f>
        <v/>
      </c>
      <c r="L366" t="str">
        <f>IF(CLASS!F4="Not Comply",T(CLASS!K4)&amp;"♦"&amp;T(CLASS!B4)&amp;"♦"&amp;T(CLASS!G4)&amp;"♦"&amp;T(CLASS!H4),"")</f>
        <v/>
      </c>
    </row>
    <row r="367" spans="11:12">
      <c r="K367" t="str">
        <f>IF(CLASS!F5="Not Comply",MAX($K$4:K366)+1,"")</f>
        <v/>
      </c>
      <c r="L367" t="str">
        <f>IF(CLASS!F5="Not Comply",T(CLASS!K5)&amp;"♦"&amp;T(CLASS!B5)&amp;"♦"&amp;T(CLASS!G5)&amp;"♦"&amp;T(CLASS!H5),"")</f>
        <v/>
      </c>
    </row>
    <row r="368" spans="11:12">
      <c r="K368" t="str">
        <f>IF(CLASS!F6="Not Comply",MAX($K$4:K367)+1,"")</f>
        <v/>
      </c>
      <c r="L368" t="str">
        <f>IF(CLASS!F6="Not Comply",T(CLASS!K6)&amp;"♦"&amp;T(CLASS!B6)&amp;"♦"&amp;T(CLASS!G6)&amp;"♦"&amp;T(CLASS!H6),"")</f>
        <v/>
      </c>
    </row>
    <row r="369" spans="11:12">
      <c r="K369" t="str">
        <f>IF(CLASS!F7="Not Comply",MAX($K$4:K368)+1,"")</f>
        <v/>
      </c>
      <c r="L369" t="str">
        <f>IF(CLASS!F7="Not Comply",T(CLASS!K7)&amp;"♦"&amp;T(CLASS!B7)&amp;"♦"&amp;T(CLASS!G7)&amp;"♦"&amp;T(CLASS!H7),"")</f>
        <v/>
      </c>
    </row>
    <row r="370" spans="11:12">
      <c r="K370" t="str">
        <f>IF(CLASS!F8="Not Comply",MAX($K$4:K369)+1,"")</f>
        <v/>
      </c>
      <c r="L370" t="str">
        <f>IF(CLASS!F8="Not Comply",T(CLASS!K8)&amp;"♦"&amp;T(CLASS!B8)&amp;"♦"&amp;T(CLASS!G8)&amp;"♦"&amp;T(CLASS!H8),"")</f>
        <v/>
      </c>
    </row>
    <row r="371" spans="11:12">
      <c r="K371" t="str">
        <f>IF(CLASS!F9="Not Comply",MAX($K$4:K370)+1,"")</f>
        <v/>
      </c>
      <c r="L371" t="str">
        <f>IF(CLASS!F9="Not Comply",T(CLASS!K9)&amp;"♦"&amp;T(CLASS!B9)&amp;"♦"&amp;T(CLASS!G9)&amp;"♦"&amp;T(CLASS!H9),"")</f>
        <v/>
      </c>
    </row>
    <row r="372" spans="11:12">
      <c r="K372" t="str">
        <f>IF(CLASS!F10="Not Comply",MAX($K$4:K371)+1,"")</f>
        <v/>
      </c>
      <c r="L372" t="str">
        <f>IF(CLASS!F10="Not Comply",T(CLASS!K10)&amp;"♦"&amp;T(CLASS!B10)&amp;"♦"&amp;T(CLASS!G10)&amp;"♦"&amp;T(CLASS!H10),"")</f>
        <v/>
      </c>
    </row>
    <row r="373" spans="11:12">
      <c r="K373" t="str">
        <f>IF(CLASS!F11="Not Comply",MAX($K$4:K372)+1,"")</f>
        <v/>
      </c>
      <c r="L373" t="str">
        <f>IF(CLASS!F11="Not Comply",T(CLASS!K11)&amp;"♦"&amp;T(CLASS!B11)&amp;"♦"&amp;T(CLASS!G11)&amp;"♦"&amp;T(CLASS!H11),"")</f>
        <v/>
      </c>
    </row>
    <row r="374" spans="11:12">
      <c r="K374" t="str">
        <f>IF(CLASS!F12="Not Comply",MAX($K$4:K373)+1,"")</f>
        <v/>
      </c>
      <c r="L374" t="str">
        <f>IF(CLASS!F12="Not Comply",T(CLASS!K12)&amp;"♦"&amp;T(CLASS!B12)&amp;"♦"&amp;T(CLASS!G12)&amp;"♦"&amp;T(CLASS!H12),"")</f>
        <v/>
      </c>
    </row>
    <row r="375" spans="11:12">
      <c r="K375" t="str">
        <f>IF(CLASS!F13="Not Comply",MAX($K$4:K374)+1,"")</f>
        <v/>
      </c>
      <c r="L375" t="str">
        <f>IF(CLASS!F13="Not Comply",T(CLASS!K13)&amp;"♦"&amp;T(CLASS!B13)&amp;"♦"&amp;T(CLASS!G13)&amp;"♦"&amp;T(CLASS!H13),"")</f>
        <v/>
      </c>
    </row>
    <row r="376" spans="11:12">
      <c r="K376" t="str">
        <f>IF(CLASS!F14="Not Comply",MAX($K$4:K375)+1,"")</f>
        <v/>
      </c>
      <c r="L376" t="str">
        <f>IF(CLASS!F14="Not Comply",T(CLASS!K14)&amp;"♦"&amp;T(CLASS!B14)&amp;"♦"&amp;T(CLASS!G14)&amp;"♦"&amp;T(CLASS!H14),"")</f>
        <v/>
      </c>
    </row>
    <row r="377" spans="11:12">
      <c r="K377" t="str">
        <f>IF(CLASS!F15="Not Comply",MAX($K$4:K376)+1,"")</f>
        <v/>
      </c>
      <c r="L377" t="str">
        <f>IF(CLASS!F15="Not Comply",T(CLASS!K15)&amp;"♦"&amp;T(CLASS!B15)&amp;"♦"&amp;T(CLASS!G15)&amp;"♦"&amp;T(CLASS!H15),"")</f>
        <v/>
      </c>
    </row>
    <row r="378" spans="11:12">
      <c r="K378" t="str">
        <f>IF(CLASS!F16="Not Comply",MAX($K$4:K377)+1,"")</f>
        <v/>
      </c>
      <c r="L378" t="str">
        <f>IF(CLASS!F16="Not Comply",T(CLASS!K16)&amp;"♦"&amp;T(CLASS!B16)&amp;"♦"&amp;T(CLASS!G16)&amp;"♦"&amp;T(CLASS!H16),"")</f>
        <v/>
      </c>
    </row>
    <row r="379" spans="11:12">
      <c r="K379" t="str">
        <f>IF(CLASS!F17="Not Comply",MAX($K$4:K378)+1,"")</f>
        <v/>
      </c>
      <c r="L379" t="str">
        <f>IF(CLASS!F17="Not Comply",T(CLASS!K17)&amp;"♦"&amp;T(CLASS!B17)&amp;"♦"&amp;T(CLASS!G17)&amp;"♦"&amp;T(CLASS!H17),"")</f>
        <v/>
      </c>
    </row>
    <row r="380" spans="11:12">
      <c r="K380" t="str">
        <f>IF(CLASS!F18="Not Comply",MAX($K$4:K379)+1,"")</f>
        <v/>
      </c>
      <c r="L380" t="str">
        <f>IF(CLASS!F18="Not Comply",T(CLASS!K18)&amp;"♦"&amp;T(CLASS!B18)&amp;"♦"&amp;T(CLASS!G18)&amp;"♦"&amp;T(CLASS!H18),"")</f>
        <v/>
      </c>
    </row>
    <row r="381" spans="11:12">
      <c r="K381" t="str">
        <f>IF(CLASS!F19="Not Comply",MAX($K$4:K380)+1,"")</f>
        <v/>
      </c>
      <c r="L381" t="str">
        <f>IF(CLASS!F19="Not Comply",T(CLASS!K19)&amp;"♦"&amp;T(CLASS!B19)&amp;"♦"&amp;T(CLASS!G19)&amp;"♦"&amp;T(CLASS!H19),"")</f>
        <v/>
      </c>
    </row>
    <row r="382" spans="11:12">
      <c r="K382" t="str">
        <f>IF(CLASS!F20="Not Comply",MAX($K$4:K381)+1,"")</f>
        <v/>
      </c>
      <c r="L382" t="str">
        <f>IF(CLASS!F20="Not Comply",T(CLASS!K20)&amp;"♦"&amp;T(CLASS!B20)&amp;"♦"&amp;T(CLASS!G20)&amp;"♦"&amp;T(CLASS!H20),"")</f>
        <v/>
      </c>
    </row>
    <row r="383" spans="11:12">
      <c r="K383" t="str">
        <f>IF(NADOPOD!F4="Not Comply",MAX($K$4:K382)+1,"")</f>
        <v/>
      </c>
      <c r="L383" t="str">
        <f>IF(NADOPOD!F4="Not Comply",T(NADOPOD!K4)&amp;"♦"&amp;T(NADOPOD!B4)&amp;"♦"&amp;T(NADOPOD!G4)&amp;"♦"&amp;T(NADOPOD!H4),"")</f>
        <v/>
      </c>
    </row>
    <row r="384" spans="11:12">
      <c r="K384" t="str">
        <f>IF(NADOPOD!F5="Not Comply",MAX($K$4:K383)+1,"")</f>
        <v/>
      </c>
      <c r="L384" t="str">
        <f>IF(NADOPOD!F5="Not Comply",T(NADOPOD!K5)&amp;"♦"&amp;T(NADOPOD!B5)&amp;"♦"&amp;T(NADOPOD!G5)&amp;"♦"&amp;T(NADOPOD!H5),"")</f>
        <v/>
      </c>
    </row>
    <row r="385" spans="11:12">
      <c r="K385" t="str">
        <f>IF(NADOPOD!F6="Not Comply",MAX($K$4:K384)+1,"")</f>
        <v/>
      </c>
      <c r="L385" t="str">
        <f>IF(NADOPOD!F6="Not Comply",T(NADOPOD!K6)&amp;"♦"&amp;T(NADOPOD!B6)&amp;"♦"&amp;T(NADOPOD!G6)&amp;"♦"&amp;T(NADOPOD!H6),"")</f>
        <v/>
      </c>
    </row>
    <row r="386" spans="11:12">
      <c r="K386" t="str">
        <f>IF(NADOPOD!F7="Not Comply",MAX($K$4:K385)+1,"")</f>
        <v/>
      </c>
      <c r="L386" t="str">
        <f>IF(NADOPOD!F7="Not Comply",T(NADOPOD!K7)&amp;"♦"&amp;T(NADOPOD!B7)&amp;"♦"&amp;T(NADOPOD!G7)&amp;"♦"&amp;T(NADOPOD!H7),"")</f>
        <v/>
      </c>
    </row>
    <row r="387" spans="11:12">
      <c r="K387" t="str">
        <f>IF(NADOPOD!F8="Not Comply",MAX($K$4:K386)+1,"")</f>
        <v/>
      </c>
      <c r="L387" t="str">
        <f>IF(NADOPOD!F8="Not Comply",T(NADOPOD!K8)&amp;"♦"&amp;T(NADOPOD!B8)&amp;"♦"&amp;T(NADOPOD!G8)&amp;"♦"&amp;T(NADOPOD!H8),"")</f>
        <v/>
      </c>
    </row>
    <row r="388" spans="11:12">
      <c r="K388" t="str">
        <f>IF(NADOPOD!F9="Not Comply",MAX($K$4:K387)+1,"")</f>
        <v/>
      </c>
      <c r="L388" t="str">
        <f>IF(NADOPOD!F9="Not Comply",T(NADOPOD!K9)&amp;"♦"&amp;T(NADOPOD!B9)&amp;"♦"&amp;T(NADOPOD!G9)&amp;"♦"&amp;T(NADOPOD!H9),"")</f>
        <v/>
      </c>
    </row>
    <row r="389" spans="11:12">
      <c r="K389" t="str">
        <f>IF(NADOPOD!F10="Not Comply",MAX($K$4:K388)+1,"")</f>
        <v/>
      </c>
      <c r="L389" t="str">
        <f>IF(NADOPOD!F10="Not Comply",T(NADOPOD!K10)&amp;"♦"&amp;T(NADOPOD!B10)&amp;"♦"&amp;T(NADOPOD!G10)&amp;"♦"&amp;T(NADOPOD!H10),"")</f>
        <v/>
      </c>
    </row>
    <row r="390" spans="11:12">
      <c r="K390" t="str">
        <f>IF(NADOPOD!F11="Not Comply",MAX($K$4:K389)+1,"")</f>
        <v/>
      </c>
      <c r="L390" t="str">
        <f>IF(NADOPOD!F11="Not Comply",T(NADOPOD!K11)&amp;"♦"&amp;T(NADOPOD!B11)&amp;"♦"&amp;T(NADOPOD!G11)&amp;"♦"&amp;T(NADOPOD!H11),"")</f>
        <v/>
      </c>
    </row>
    <row r="391" spans="11:12">
      <c r="K391" t="str">
        <f>IF(noise!F4="Not Comply",MAX($K$4:K390)+1,"")</f>
        <v/>
      </c>
      <c r="L391" t="str">
        <f>IF(noise!F4="Not Comply",T(noise!K4)&amp;"♦"&amp;T(noise!B4)&amp;"♦"&amp;T(noise!G4)&amp;"♦"&amp;T(noise!H4),"")</f>
        <v/>
      </c>
    </row>
    <row r="392" spans="11:12">
      <c r="K392" t="str">
        <f>IF(noise!F5="Not Comply",MAX($K$4:K391)+1,"")</f>
        <v/>
      </c>
      <c r="L392" t="str">
        <f>IF(noise!F5="Not Comply",T(noise!K5)&amp;"♦"&amp;T(noise!B5)&amp;"♦"&amp;T(noise!G5)&amp;"♦"&amp;T(noise!H5),"")</f>
        <v/>
      </c>
    </row>
    <row r="393" spans="11:12">
      <c r="K393" t="str">
        <f>IF(noise!F6="Not Comply",MAX($K$4:K392)+1,"")</f>
        <v/>
      </c>
      <c r="L393" t="str">
        <f>IF(noise!F6="Not Comply",T(noise!K6)&amp;"♦"&amp;T(noise!B6)&amp;"♦"&amp;T(noise!G6)&amp;"♦"&amp;T(noise!H6),"")</f>
        <v/>
      </c>
    </row>
    <row r="394" spans="11:12">
      <c r="K394" t="str">
        <f>IF(noise!F7="Not Comply",MAX($K$4:K393)+1,"")</f>
        <v/>
      </c>
      <c r="L394" t="str">
        <f>IF(noise!F7="Not Comply",T(noise!K7)&amp;"♦"&amp;T(noise!B7)&amp;"♦"&amp;T(noise!G7)&amp;"♦"&amp;T(noise!H7),"")</f>
        <v/>
      </c>
    </row>
    <row r="395" spans="11:12">
      <c r="K395" t="str">
        <f>IF(noise!F8="Not Comply",MAX($K$4:K394)+1,"")</f>
        <v/>
      </c>
      <c r="L395" t="str">
        <f>IF(noise!F8="Not Comply",T(noise!K8)&amp;"♦"&amp;T(noise!B8)&amp;"♦"&amp;T(noise!G8)&amp;"♦"&amp;T(noise!H8),"")</f>
        <v/>
      </c>
    </row>
    <row r="396" spans="11:12">
      <c r="K396" t="str">
        <f>IF(noise!F9="Not Comply",MAX($K$4:K395)+1,"")</f>
        <v/>
      </c>
      <c r="L396" t="str">
        <f>IF(noise!F9="Not Comply",T(noise!K9)&amp;"♦"&amp;T(noise!B9)&amp;"♦"&amp;T(noise!G9)&amp;"♦"&amp;T(noise!H9),"")</f>
        <v/>
      </c>
    </row>
    <row r="397" spans="11:12">
      <c r="K397" t="str">
        <f>IF(noise!F10="Not Comply",MAX($K$4:K396)+1,"")</f>
        <v/>
      </c>
      <c r="L397" t="str">
        <f>IF(noise!F10="Not Comply",T(noise!K10)&amp;"♦"&amp;T(noise!B10)&amp;"♦"&amp;T(noise!G10)&amp;"♦"&amp;T(noise!H10),"")</f>
        <v/>
      </c>
    </row>
    <row r="398" spans="11:12">
      <c r="K398" t="str">
        <f>IF(noise!F11="Not Comply",MAX($K$4:K397)+1,"")</f>
        <v/>
      </c>
      <c r="L398" t="str">
        <f>IF(noise!F11="Not Comply",T(noise!K11)&amp;"♦"&amp;T(noise!B11)&amp;"♦"&amp;T(noise!G11)&amp;"♦"&amp;T(noise!H11),"")</f>
        <v/>
      </c>
    </row>
    <row r="399" spans="11:12">
      <c r="K399" t="str">
        <f>IF(noise!F12="Not Comply",MAX($K$4:K398)+1,"")</f>
        <v/>
      </c>
      <c r="L399" t="str">
        <f>IF(noise!F12="Not Comply",T(noise!K12)&amp;"♦"&amp;T(noise!B12)&amp;"♦"&amp;T(noise!G12)&amp;"♦"&amp;T(noise!H12),"")</f>
        <v/>
      </c>
    </row>
    <row r="400" spans="11:12">
      <c r="K400" t="str">
        <f>IF(noise!F13="Not Comply",MAX($K$4:K399)+1,"")</f>
        <v/>
      </c>
      <c r="L400" t="str">
        <f>IF(noise!F13="Not Comply",T(noise!K13)&amp;"♦"&amp;T(noise!B13)&amp;"♦"&amp;T(noise!G13)&amp;"♦"&amp;T(noise!H13),"")</f>
        <v/>
      </c>
    </row>
    <row r="401" spans="11:12">
      <c r="K401" t="str">
        <f>IF(noise!F14="Not Comply",MAX($K$4:K400)+1,"")</f>
        <v/>
      </c>
      <c r="L401" t="str">
        <f>IF(noise!F14="Not Comply",T(noise!K14)&amp;"♦"&amp;T(noise!B14)&amp;"♦"&amp;T(noise!G14)&amp;"♦"&amp;T(noise!H14),"")</f>
        <v/>
      </c>
    </row>
    <row r="402" spans="11:12">
      <c r="K402" t="str">
        <f>IF(noise!F15="Not Comply",MAX($K$4:K401)+1,"")</f>
        <v/>
      </c>
      <c r="L402" t="str">
        <f>IF(noise!F15="Not Comply",T(noise!K15)&amp;"♦"&amp;T(noise!B15)&amp;"♦"&amp;T(noise!G15)&amp;"♦"&amp;T(noise!H15),"")</f>
        <v/>
      </c>
    </row>
    <row r="403" spans="11:12">
      <c r="K403" t="str">
        <f>IF(noise!F16="Not Comply",MAX($K$4:K402)+1,"")</f>
        <v/>
      </c>
      <c r="L403" t="str">
        <f>IF(noise!F16="Not Comply",T(noise!K16)&amp;"♦"&amp;T(noise!B16)&amp;"♦"&amp;T(noise!G16)&amp;"♦"&amp;T(noise!H16),"")</f>
        <v/>
      </c>
    </row>
    <row r="404" spans="11:12">
      <c r="K404" t="str">
        <f>IF(noise!F17="Not Comply",MAX($K$4:K403)+1,"")</f>
        <v/>
      </c>
      <c r="L404" t="str">
        <f>IF(noise!F17="Not Comply",T(noise!K17)&amp;"♦"&amp;T(noise!B17)&amp;"♦"&amp;T(noise!G17)&amp;"♦"&amp;T(noise!H17),"")</f>
        <v/>
      </c>
    </row>
    <row r="405" spans="11:12">
      <c r="K405" t="str">
        <f>IF(noise!F18="Not Comply",MAX($K$4:K404)+1,"")</f>
        <v/>
      </c>
      <c r="L405" t="str">
        <f>IF(noise!F18="Not Comply",T(noise!K18)&amp;"♦"&amp;T(noise!B18)&amp;"♦"&amp;T(noise!G18)&amp;"♦"&amp;T(noise!H18),"")</f>
        <v/>
      </c>
    </row>
    <row r="406" spans="11:12">
      <c r="K406" t="str">
        <f>IF(noise!F19="Not Comply",MAX($K$4:K405)+1,"")</f>
        <v/>
      </c>
      <c r="L406" t="str">
        <f>IF(noise!F19="Not Comply",T(noise!K19)&amp;"♦"&amp;T(noise!B19)&amp;"♦"&amp;T(noise!G19)&amp;"♦"&amp;T(noise!H19),"")</f>
        <v/>
      </c>
    </row>
    <row r="407" spans="11:12">
      <c r="K407" t="str">
        <f>IF(shc!F4="Not Comply",MAX($K$4:K406)+1,"")</f>
        <v/>
      </c>
      <c r="L407" t="str">
        <f>IF(shc!F4="Not Comply",T(shc!K4)&amp;"♦"&amp;T(shc!B4)&amp;"♦"&amp;T(shc!G4)&amp;"♦"&amp;T(shc!H4),"")</f>
        <v/>
      </c>
    </row>
    <row r="408" spans="11:12">
      <c r="K408" t="str">
        <f>IF(shc!F5="Not Comply",MAX($K$4:K407)+1,"")</f>
        <v/>
      </c>
      <c r="L408" t="str">
        <f>IF(shc!F5="Not Comply",T(shc!K5)&amp;"♦"&amp;T(shc!B5)&amp;"♦"&amp;T(shc!G5)&amp;"♦"&amp;T(shc!H5),"")</f>
        <v/>
      </c>
    </row>
    <row r="409" spans="11:12">
      <c r="K409" t="str">
        <f>IF(shc!F6="Not Comply",MAX($K$4:K408)+1,"")</f>
        <v/>
      </c>
      <c r="L409" t="str">
        <f>IF(shc!F6="Not Comply",T(shc!K6)&amp;"♦"&amp;T(shc!B6)&amp;"♦"&amp;T(shc!G6)&amp;"♦"&amp;T(shc!H6),"")</f>
        <v/>
      </c>
    </row>
    <row r="410" spans="11:12">
      <c r="K410" t="str">
        <f>IF(shc!F7="Not Comply",MAX($K$4:K409)+1,"")</f>
        <v/>
      </c>
      <c r="L410" t="str">
        <f>IF(shc!F7="Not Comply",T(shc!K7)&amp;"♦"&amp;T(shc!B7)&amp;"♦"&amp;T(shc!G7)&amp;"♦"&amp;T(shc!H7),"")</f>
        <v/>
      </c>
    </row>
    <row r="411" spans="11:12">
      <c r="K411" t="str">
        <f>IF(shc!F8="Not Comply",MAX($K$4:K410)+1,"")</f>
        <v/>
      </c>
      <c r="L411" t="str">
        <f>IF(shc!F8="Not Comply",T(shc!K8)&amp;"♦"&amp;T(shc!B8)&amp;"♦"&amp;T(shc!G8)&amp;"♦"&amp;T(shc!H8),"")</f>
        <v/>
      </c>
    </row>
    <row r="412" spans="11:12">
      <c r="K412" t="str">
        <f>IF(shc!F9="Not Comply",MAX($K$4:K411)+1,"")</f>
        <v/>
      </c>
      <c r="L412" t="str">
        <f>IF(shc!F9="Not Comply",T(shc!K9)&amp;"♦"&amp;T(shc!B9)&amp;"♦"&amp;T(shc!G9)&amp;"♦"&amp;T(shc!H9),"")</f>
        <v/>
      </c>
    </row>
    <row r="413" spans="11:12">
      <c r="K413" t="str">
        <f>IF(shc!F10="Not Comply",MAX($K$4:K412)+1,"")</f>
        <v/>
      </c>
      <c r="L413" t="str">
        <f>IF(shc!F10="Not Comply",T(shc!K10)&amp;"♦"&amp;T(shc!B10)&amp;"♦"&amp;T(shc!G10)&amp;"♦"&amp;T(shc!H10),"")</f>
        <v/>
      </c>
    </row>
    <row r="414" spans="11:12">
      <c r="K414" t="str">
        <f>IF(shc!F11="Not Comply",MAX($K$4:K413)+1,"")</f>
        <v/>
      </c>
      <c r="L414" t="str">
        <f>IF(shc!F11="Not Comply",T(shc!K11)&amp;"♦"&amp;T(shc!B11)&amp;"♦"&amp;T(shc!G11)&amp;"♦"&amp;T(shc!H11),"")</f>
        <v/>
      </c>
    </row>
    <row r="415" spans="11:12">
      <c r="K415" t="str">
        <f>IF(shc!F12="Not Comply",MAX($K$4:K414)+1,"")</f>
        <v/>
      </c>
      <c r="L415" t="str">
        <f>IF(shc!F12="Not Comply",T(shc!K12)&amp;"♦"&amp;T(shc!B12)&amp;"♦"&amp;T(shc!G12)&amp;"♦"&amp;T(shc!H12),"")</f>
        <v/>
      </c>
    </row>
    <row r="416" spans="11:12">
      <c r="K416" t="str">
        <f>IF(shc!F13="Not Comply",MAX($K$4:K415)+1,"")</f>
        <v/>
      </c>
      <c r="L416" t="str">
        <f>IF(shc!F13="Not Comply",T(shc!K13)&amp;"♦"&amp;T(shc!B13)&amp;"♦"&amp;T(shc!G13)&amp;"♦"&amp;T(shc!H13),"")</f>
        <v/>
      </c>
    </row>
    <row r="417" spans="11:12">
      <c r="K417" t="str">
        <f>IF(shc!F14="Not Comply",MAX($K$4:K416)+1,"")</f>
        <v/>
      </c>
      <c r="L417" t="str">
        <f>IF(shc!F14="Not Comply",T(shc!K14)&amp;"♦"&amp;T(shc!B14)&amp;"♦"&amp;T(shc!G14)&amp;"♦"&amp;T(shc!H14),"")</f>
        <v/>
      </c>
    </row>
    <row r="418" spans="11:12">
      <c r="K418" t="str">
        <f>IF(shc!F15="Not Comply",MAX($K$4:K417)+1,"")</f>
        <v/>
      </c>
      <c r="L418" t="str">
        <f>IF(shc!F15="Not Comply",T(shc!K15)&amp;"♦"&amp;T(shc!B15)&amp;"♦"&amp;T(shc!G15)&amp;"♦"&amp;T(shc!H15),"")</f>
        <v/>
      </c>
    </row>
    <row r="419" spans="11:12">
      <c r="K419" t="str">
        <f>IF(shc!F16="Not Comply",MAX($K$4:K418)+1,"")</f>
        <v/>
      </c>
      <c r="L419" t="str">
        <f>IF(shc!F16="Not Comply",T(shc!K16)&amp;"♦"&amp;T(shc!B16)&amp;"♦"&amp;T(shc!G16)&amp;"♦"&amp;T(shc!H16),"")</f>
        <v/>
      </c>
    </row>
    <row r="420" spans="11:12">
      <c r="K420" t="str">
        <f>IF(shc!F17="Not Comply",MAX($K$4:K419)+1,"")</f>
        <v/>
      </c>
      <c r="L420" t="str">
        <f>IF(shc!F17="Not Comply",T(shc!K17)&amp;"♦"&amp;T(shc!B17)&amp;"♦"&amp;T(shc!G17)&amp;"♦"&amp;T(shc!H17),"")</f>
        <v/>
      </c>
    </row>
    <row r="421" spans="11:12">
      <c r="K421" t="str">
        <f>IF(shc!F18="Not Comply",MAX($K$4:K420)+1,"")</f>
        <v/>
      </c>
      <c r="L421" t="str">
        <f>IF(shc!F18="Not Comply",T(shc!K18)&amp;"♦"&amp;T(shc!B18)&amp;"♦"&amp;T(shc!G18)&amp;"♦"&amp;T(shc!H18),"")</f>
        <v/>
      </c>
    </row>
    <row r="422" spans="11:12">
      <c r="K422" t="str">
        <f>IF(shc!F19="Not Comply",MAX($K$4:K421)+1,"")</f>
        <v/>
      </c>
      <c r="L422" t="str">
        <f>IF(shc!F19="Not Comply",T(shc!K19)&amp;"♦"&amp;T(shc!B19)&amp;"♦"&amp;T(shc!G19)&amp;"♦"&amp;T(shc!H19),"")</f>
        <v/>
      </c>
    </row>
    <row r="423" spans="11:12">
      <c r="K423" t="str">
        <f>IF(shc!F20="Not Comply",MAX($K$4:K422)+1,"")</f>
        <v/>
      </c>
      <c r="L423" t="str">
        <f>IF(shc!F20="Not Comply",T(shc!K20)&amp;"♦"&amp;T(shc!B20)&amp;"♦"&amp;T(shc!G20)&amp;"♦"&amp;T(shc!H20),"")</f>
        <v/>
      </c>
    </row>
    <row r="424" spans="11:12">
      <c r="K424" t="str">
        <f>IF(shc!F21="Not Comply",MAX($K$4:K423)+1,"")</f>
        <v/>
      </c>
      <c r="L424" t="str">
        <f>IF(shc!F21="Not Comply",T(shc!K21)&amp;"♦"&amp;T(shc!B21)&amp;"♦"&amp;T(shc!G21)&amp;"♦"&amp;T(shc!H21),"")</f>
        <v/>
      </c>
    </row>
    <row r="425" spans="11:12">
      <c r="K425" t="str">
        <f>IF(shc!F22="Not Comply",MAX($K$4:K424)+1,"")</f>
        <v/>
      </c>
      <c r="L425" t="str">
        <f>IF(shc!F22="Not Comply",T(shc!K22)&amp;"♦"&amp;T(shc!B22)&amp;"♦"&amp;T(shc!G22)&amp;"♦"&amp;T(shc!H22),"")</f>
        <v/>
      </c>
    </row>
    <row r="426" spans="11:12">
      <c r="K426" t="str">
        <f>IF(shc!F23="Not Comply",MAX($K$4:K425)+1,"")</f>
        <v/>
      </c>
      <c r="L426" t="str">
        <f>IF(shc!F23="Not Comply",T(shc!K23)&amp;"♦"&amp;T(shc!B23)&amp;"♦"&amp;T(shc!G23)&amp;"♦"&amp;T(shc!H23),"")</f>
        <v/>
      </c>
    </row>
    <row r="427" spans="11:12">
      <c r="K427" t="str">
        <f>IF(shc!F24="Not Comply",MAX($K$4:K426)+1,"")</f>
        <v/>
      </c>
      <c r="L427" t="str">
        <f>IF(shc!F24="Not Comply",T(shc!K24)&amp;"♦"&amp;T(shc!B24)&amp;"♦"&amp;T(shc!G24)&amp;"♦"&amp;T(shc!H24),"")</f>
        <v/>
      </c>
    </row>
    <row r="428" spans="11:12">
      <c r="K428" t="str">
        <f>IF(shc!F25="Not Comply",MAX($K$4:K427)+1,"")</f>
        <v/>
      </c>
      <c r="L428" t="str">
        <f>IF(shc!F25="Not Comply",T(shc!K25)&amp;"♦"&amp;T(shc!B25)&amp;"♦"&amp;T(shc!G25)&amp;"♦"&amp;T(shc!H25),"")</f>
        <v/>
      </c>
    </row>
    <row r="429" spans="11:12">
      <c r="K429" t="str">
        <f>IF(shc!F26="Not Comply",MAX($K$4:K428)+1,"")</f>
        <v/>
      </c>
      <c r="L429" t="str">
        <f>IF(shc!F26="Not Comply",T(shc!K26)&amp;"♦"&amp;T(shc!B26)&amp;"♦"&amp;T(shc!G26)&amp;"♦"&amp;T(shc!H26),"")</f>
        <v/>
      </c>
    </row>
    <row r="430" spans="11:12">
      <c r="K430" t="str">
        <f>IF(CDM!F4="Not Comply",MAX($K$4:K429)+1,"")</f>
        <v/>
      </c>
      <c r="L430" t="str">
        <f>IF(CDM!F4="Not Comply",T(CDM!K4)&amp;"♦"&amp;T(CDM!B4)&amp;"♦"&amp;T(CDM!G4)&amp;"♦"&amp;T(CDM!H4),"")</f>
        <v/>
      </c>
    </row>
    <row r="431" spans="11:12">
      <c r="K431" t="str">
        <f>IF(CDM!F5="Not Comply",MAX($K$4:K430)+1,"")</f>
        <v/>
      </c>
      <c r="L431" t="str">
        <f>IF(CDM!F5="Not Comply",T(CDM!K5)&amp;"♦"&amp;T(CDM!B5)&amp;"♦"&amp;T(CDM!G5)&amp;"♦"&amp;T(CDM!H5),"")</f>
        <v/>
      </c>
    </row>
    <row r="432" spans="11:12">
      <c r="K432" t="str">
        <f>IF(CDM!F6="Not Comply",MAX($K$4:K431)+1,"")</f>
        <v/>
      </c>
      <c r="L432" t="str">
        <f>IF(CDM!F6="Not Comply",T(CDM!K6)&amp;"♦"&amp;T(CDM!B6)&amp;"♦"&amp;T(CDM!G6)&amp;"♦"&amp;T(CDM!H6),"")</f>
        <v/>
      </c>
    </row>
    <row r="433" spans="11:12">
      <c r="K433" t="str">
        <f>IF(CDM!F7="Not Comply",MAX($K$4:K432)+1,"")</f>
        <v/>
      </c>
      <c r="L433" t="str">
        <f>IF(CDM!F7="Not Comply",T(CDM!K7)&amp;"♦"&amp;T(CDM!B7)&amp;"♦"&amp;T(CDM!G7)&amp;"♦"&amp;T(CDM!H7),"")</f>
        <v/>
      </c>
    </row>
    <row r="434" spans="11:12">
      <c r="K434" t="str">
        <f>IF(CDM!F8="Not Comply",MAX($K$4:K433)+1,"")</f>
        <v/>
      </c>
      <c r="L434" t="str">
        <f>IF(CDM!F8="Not Comply",T(CDM!K8)&amp;"♦"&amp;T(CDM!B8)&amp;"♦"&amp;T(CDM!G8)&amp;"♦"&amp;T(CDM!H8),"")</f>
        <v/>
      </c>
    </row>
    <row r="435" spans="11:12">
      <c r="K435" t="str">
        <f>IF(CDM!F9="Not Comply",MAX($K$4:K434)+1,"")</f>
        <v/>
      </c>
      <c r="L435" t="str">
        <f>IF(CDM!F9="Not Comply",T(CDM!K9)&amp;"♦"&amp;T(CDM!B9)&amp;"♦"&amp;T(CDM!G9)&amp;"♦"&amp;T(CDM!H9),"")</f>
        <v/>
      </c>
    </row>
    <row r="436" spans="11:12">
      <c r="K436" t="str">
        <f>IF(CDM!F10="Not Comply",MAX($K$4:K435)+1,"")</f>
        <v/>
      </c>
      <c r="L436" t="str">
        <f>IF(CDM!F10="Not Comply",T(CDM!K10)&amp;"♦"&amp;T(CDM!B10)&amp;"♦"&amp;T(CDM!G10)&amp;"♦"&amp;T(CDM!H10),"")</f>
        <v/>
      </c>
    </row>
    <row r="437" spans="11:12">
      <c r="K437" t="str">
        <f>IF(CDM!F11="Not Comply",MAX($K$4:K436)+1,"")</f>
        <v/>
      </c>
      <c r="L437" t="str">
        <f>IF(CDM!F11="Not Comply",T(CDM!K11)&amp;"♦"&amp;T(CDM!B11)&amp;"♦"&amp;T(CDM!G11)&amp;"♦"&amp;T(CDM!H11),"")</f>
        <v/>
      </c>
    </row>
    <row r="438" spans="11:12">
      <c r="K438" t="str">
        <f>IF(CDM!F12="Not Comply",MAX($K$4:K437)+1,"")</f>
        <v/>
      </c>
      <c r="L438" t="str">
        <f>IF(CDM!F12="Not Comply",T(CDM!K12)&amp;"♦"&amp;T(CDM!B12)&amp;"♦"&amp;T(CDM!G12)&amp;"♦"&amp;T(CDM!H12),"")</f>
        <v/>
      </c>
    </row>
    <row r="439" spans="11:12">
      <c r="K439" t="str">
        <f>IF(CDM!F13="Not Comply",MAX($K$4:K438)+1,"")</f>
        <v/>
      </c>
      <c r="L439" t="str">
        <f>IF(CDM!F13="Not Comply",T(CDM!K13)&amp;"♦"&amp;T(CDM!B13)&amp;"♦"&amp;T(CDM!G13)&amp;"♦"&amp;T(CDM!H13),"")</f>
        <v/>
      </c>
    </row>
    <row r="440" spans="11:12">
      <c r="K440" t="str">
        <f>IF(CDM!F14="Not Comply",MAX($K$4:K439)+1,"")</f>
        <v/>
      </c>
      <c r="L440" t="str">
        <f>IF(CDM!F14="Not Comply",T(CDM!K14)&amp;"♦"&amp;T(CDM!B14)&amp;"♦"&amp;T(CDM!G14)&amp;"♦"&amp;T(CDM!H14),"")</f>
        <v/>
      </c>
    </row>
    <row r="441" spans="11:12">
      <c r="K441" t="str">
        <f>IF(CDM!F15="Not Comply",MAX($K$4:K440)+1,"")</f>
        <v/>
      </c>
      <c r="L441" t="str">
        <f>IF(CDM!F15="Not Comply",T(CDM!K15)&amp;"♦"&amp;T(CDM!B15)&amp;"♦"&amp;T(CDM!G15)&amp;"♦"&amp;T(CDM!H15),"")</f>
        <v/>
      </c>
    </row>
    <row r="442" spans="11:12">
      <c r="K442" t="str">
        <f>IF(CDM!F16="Not Comply",MAX($K$4:K441)+1,"")</f>
        <v/>
      </c>
      <c r="L442" t="str">
        <f>IF(CDM!F16="Not Comply",T(CDM!K16)&amp;"♦"&amp;T(CDM!B16)&amp;"♦"&amp;T(CDM!G16)&amp;"♦"&amp;T(CDM!H16),"")</f>
        <v/>
      </c>
    </row>
    <row r="443" spans="11:12">
      <c r="K443" t="str">
        <f>IF(CDM!F17="Not Comply",MAX($K$4:K442)+1,"")</f>
        <v/>
      </c>
      <c r="L443" t="str">
        <f>IF(CDM!F17="Not Comply",T(CDM!K17)&amp;"♦"&amp;T(CDM!B17)&amp;"♦"&amp;T(CDM!G17)&amp;"♦"&amp;T(CDM!H17),"")</f>
        <v/>
      </c>
    </row>
    <row r="444" spans="11:12">
      <c r="K444" t="str">
        <f>IF(CDM!F18="Not Comply",MAX($K$4:K443)+1,"")</f>
        <v/>
      </c>
      <c r="L444" t="str">
        <f>IF(CDM!F18="Not Comply",T(CDM!K18)&amp;"♦"&amp;T(CDM!B18)&amp;"♦"&amp;T(CDM!G18)&amp;"♦"&amp;T(CDM!H18),"")</f>
        <v/>
      </c>
    </row>
    <row r="445" spans="11:12">
      <c r="K445" t="str">
        <f>IF(CDM!F19="Not Comply",MAX($K$4:K444)+1,"")</f>
        <v/>
      </c>
      <c r="L445" t="str">
        <f>IF(CDM!F19="Not Comply",T(CDM!K19)&amp;"♦"&amp;T(CDM!B19)&amp;"♦"&amp;T(CDM!G19)&amp;"♦"&amp;T(CDM!H19),"")</f>
        <v/>
      </c>
    </row>
    <row r="446" spans="11:12">
      <c r="K446" t="str">
        <f>IF(CDM!F20="Not Comply",MAX($K$4:K445)+1,"")</f>
        <v/>
      </c>
      <c r="L446" t="str">
        <f>IF(CDM!F20="Not Comply",T(CDM!K20)&amp;"♦"&amp;T(CDM!B20)&amp;"♦"&amp;T(CDM!G20)&amp;"♦"&amp;T(CDM!H20),"")</f>
        <v/>
      </c>
    </row>
    <row r="447" spans="11:12">
      <c r="K447" t="str">
        <f>IF(CDM!F21="Not Comply",MAX($K$4:K446)+1,"")</f>
        <v/>
      </c>
      <c r="L447" t="str">
        <f>IF(CDM!F21="Not Comply",T(CDM!K21)&amp;"♦"&amp;T(CDM!B21)&amp;"♦"&amp;T(CDM!G21)&amp;"♦"&amp;T(CDM!H21),"")</f>
        <v/>
      </c>
    </row>
    <row r="448" spans="11:12">
      <c r="K448" t="str">
        <f>IF(CDM!F22="Not Comply",MAX($K$4:K447)+1,"")</f>
        <v/>
      </c>
      <c r="L448" t="str">
        <f>IF(CDM!F22="Not Comply",T(CDM!K22)&amp;"♦"&amp;T(CDM!B22)&amp;"♦"&amp;T(CDM!G22)&amp;"♦"&amp;T(CDM!H22),"")</f>
        <v/>
      </c>
    </row>
    <row r="449" spans="11:12">
      <c r="K449" t="str">
        <f>IF(CDM!F23="Not Comply",MAX($K$4:K448)+1,"")</f>
        <v/>
      </c>
      <c r="L449" t="str">
        <f>IF(CDM!F23="Not Comply",T(CDM!K23)&amp;"♦"&amp;T(CDM!B23)&amp;"♦"&amp;T(CDM!G23)&amp;"♦"&amp;T(CDM!H23),"")</f>
        <v/>
      </c>
    </row>
    <row r="450" spans="11:12">
      <c r="K450" t="str">
        <f>IF(CDM!F24="Not Comply",MAX($K$4:K449)+1,"")</f>
        <v/>
      </c>
      <c r="L450" t="str">
        <f>IF(CDM!F24="Not Comply",T(CDM!K24)&amp;"♦"&amp;T(CDM!B24)&amp;"♦"&amp;T(CDM!G24)&amp;"♦"&amp;T(CDM!H24),"")</f>
        <v/>
      </c>
    </row>
    <row r="451" spans="11:12">
      <c r="K451" t="str">
        <f>IF(CDM!F25="Not Comply",MAX($K$4:K450)+1,"")</f>
        <v/>
      </c>
      <c r="L451" t="str">
        <f>IF(CDM!F25="Not Comply",T(CDM!K25)&amp;"♦"&amp;T(CDM!B25)&amp;"♦"&amp;T(CDM!G25)&amp;"♦"&amp;T(CDM!H25),"")</f>
        <v/>
      </c>
    </row>
    <row r="452" spans="11:12">
      <c r="K452" t="str">
        <f>IF(CDM!F26="Not Comply",MAX($K$4:K451)+1,"")</f>
        <v/>
      </c>
      <c r="L452" t="str">
        <f>IF(CDM!F26="Not Comply",T(CDM!K26)&amp;"♦"&amp;T(CDM!B26)&amp;"♦"&amp;T(CDM!G26)&amp;"♦"&amp;T(CDM!H26),"")</f>
        <v/>
      </c>
    </row>
    <row r="453" spans="11:12">
      <c r="K453" t="str">
        <f>IF(CDM!F27="Not Comply",MAX($K$4:K452)+1,"")</f>
        <v/>
      </c>
      <c r="L453" t="str">
        <f>IF(CDM!F27="Not Comply",T(CDM!K27)&amp;"♦"&amp;T(CDM!B27)&amp;"♦"&amp;T(CDM!G27)&amp;"♦"&amp;T(CDM!H27),"")</f>
        <v/>
      </c>
    </row>
    <row r="454" spans="11:12">
      <c r="K454" t="str">
        <f>IF(CDM!F28="Not Comply",MAX($K$4:K453)+1,"")</f>
        <v/>
      </c>
      <c r="L454" t="str">
        <f>IF(CDM!F28="Not Comply",T(CDM!K28)&amp;"♦"&amp;T(CDM!B28)&amp;"♦"&amp;T(CDM!G28)&amp;"♦"&amp;T(CDM!H28),"")</f>
        <v/>
      </c>
    </row>
    <row r="455" spans="11:12">
      <c r="K455" t="str">
        <f>IF(CDM!F29="Not Comply",MAX($K$4:K454)+1,"")</f>
        <v/>
      </c>
      <c r="L455" t="str">
        <f>IF(CDM!F29="Not Comply",T(CDM!K29)&amp;"♦"&amp;T(CDM!B29)&amp;"♦"&amp;T(CDM!G29)&amp;"♦"&amp;T(CDM!H29),"")</f>
        <v/>
      </c>
    </row>
    <row r="456" spans="11:12">
      <c r="K456" t="str">
        <f>IF(CDM!F30="Not Comply",MAX($K$4:K455)+1,"")</f>
        <v/>
      </c>
      <c r="L456" t="str">
        <f>IF(CDM!F30="Not Comply",T(CDM!K30)&amp;"♦"&amp;T(CDM!B30)&amp;"♦"&amp;T(CDM!G30)&amp;"♦"&amp;T(CDM!H30),"")</f>
        <v/>
      </c>
    </row>
    <row r="457" spans="11:12">
      <c r="K457" t="str">
        <f>IF(CDM!F31="Not Comply",MAX($K$4:K456)+1,"")</f>
        <v/>
      </c>
      <c r="L457" t="str">
        <f>IF(CDM!F31="Not Comply",T(CDM!K31)&amp;"♦"&amp;T(CDM!B31)&amp;"♦"&amp;T(CDM!G31)&amp;"♦"&amp;T(CDM!H31),"")</f>
        <v/>
      </c>
    </row>
    <row r="458" spans="11:12">
      <c r="K458" t="str">
        <f>IF(CDM!F32="Not Comply",MAX($K$4:K457)+1,"")</f>
        <v/>
      </c>
      <c r="L458" t="str">
        <f>IF(CDM!F32="Not Comply",T(CDM!K32)&amp;"♦"&amp;T(CDM!B32)&amp;"♦"&amp;T(CDM!G32)&amp;"♦"&amp;T(CDM!H32),"")</f>
        <v/>
      </c>
    </row>
    <row r="459" spans="11:12">
      <c r="K459" t="str">
        <f>IF(CDM!F33="Not Comply",MAX($K$4:K458)+1,"")</f>
        <v/>
      </c>
      <c r="L459" t="str">
        <f>IF(CDM!F33="Not Comply",T(CDM!K33)&amp;"♦"&amp;T(CDM!B33)&amp;"♦"&amp;T(CDM!G33)&amp;"♦"&amp;T(CDM!H33),"")</f>
        <v/>
      </c>
    </row>
    <row r="460" spans="11:12">
      <c r="K460" t="str">
        <f>IF(CDM!F34="Not Comply",MAX($K$4:K459)+1,"")</f>
        <v/>
      </c>
      <c r="L460" t="str">
        <f>IF(CDM!F34="Not Comply",T(CDM!K34)&amp;"♦"&amp;T(CDM!B34)&amp;"♦"&amp;T(CDM!G34)&amp;"♦"&amp;T(CDM!H34),"")</f>
        <v/>
      </c>
    </row>
    <row r="461" spans="11:12">
      <c r="K461" t="str">
        <f>IF(CDM!F35="Not Comply",MAX($K$4:K460)+1,"")</f>
        <v/>
      </c>
      <c r="L461" t="str">
        <f>IF(CDM!F35="Not Comply",T(CDM!K35)&amp;"♦"&amp;T(CDM!B35)&amp;"♦"&amp;T(CDM!G35)&amp;"♦"&amp;T(CDM!H35),"")</f>
        <v/>
      </c>
    </row>
    <row r="462" spans="11:12">
      <c r="K462" t="str">
        <f>IF(CDM!F36="Not Comply",MAX($K$4:K461)+1,"")</f>
        <v/>
      </c>
      <c r="L462" t="str">
        <f>IF(CDM!F36="Not Comply",T(CDM!K36)&amp;"♦"&amp;T(CDM!B36)&amp;"♦"&amp;T(CDM!G36)&amp;"♦"&amp;T(CDM!H36),"")</f>
        <v/>
      </c>
    </row>
    <row r="463" spans="11:12">
      <c r="K463" t="str">
        <f>IF(CDM!F37="Not Comply",MAX($K$4:K462)+1,"")</f>
        <v/>
      </c>
      <c r="L463" t="str">
        <f>IF(CDM!F37="Not Comply",T(CDM!K37)&amp;"♦"&amp;T(CDM!B37)&amp;"♦"&amp;T(CDM!G37)&amp;"♦"&amp;T(CDM!H37),"")</f>
        <v/>
      </c>
    </row>
    <row r="464" spans="11:12">
      <c r="K464" t="str">
        <f>IF(CDM!F38="Not Comply",MAX($K$4:K463)+1,"")</f>
        <v/>
      </c>
      <c r="L464" t="str">
        <f>IF(CDM!F38="Not Comply",T(CDM!K38)&amp;"♦"&amp;T(CDM!B38)&amp;"♦"&amp;T(CDM!G38)&amp;"♦"&amp;T(CDM!H38),"")</f>
        <v/>
      </c>
    </row>
    <row r="465" spans="11:12">
      <c r="K465" t="str">
        <f>IF(CDM!F39="Not Comply",MAX($K$4:K464)+1,"")</f>
        <v/>
      </c>
      <c r="L465" t="str">
        <f>IF(CDM!F39="Not Comply",T(CDM!K39)&amp;"♦"&amp;T(CDM!B39)&amp;"♦"&amp;T(CDM!G39)&amp;"♦"&amp;T(CDM!H39),"")</f>
        <v/>
      </c>
    </row>
    <row r="466" spans="11:12">
      <c r="K466" t="str">
        <f>IF(FC!F4="Not Comply",MAX($K$4:K465)+1,"")</f>
        <v/>
      </c>
      <c r="L466" t="str">
        <f>IF(FC!F4="Not Comply",T(FC!K4)&amp;"♦"&amp;T(FC!B4)&amp;"♦"&amp;T(FC!G4)&amp;"♦"&amp;T(FC!H4),"")</f>
        <v/>
      </c>
    </row>
    <row r="467" spans="11:12">
      <c r="K467" t="str">
        <f>IF(FC!F5="Not Comply",MAX($K$4:K466)+1,"")</f>
        <v/>
      </c>
      <c r="L467" t="str">
        <f>IF(FC!F5="Not Comply",T(FC!K5)&amp;"♦"&amp;T(FC!B5)&amp;"♦"&amp;T(FC!G5)&amp;"♦"&amp;T(FC!H5),"")</f>
        <v/>
      </c>
    </row>
    <row r="468" spans="11:12">
      <c r="K468" t="str">
        <f>IF(FC!F6="Not Comply",MAX($K$4:K467)+1,"")</f>
        <v/>
      </c>
      <c r="L468" t="str">
        <f>IF(FC!F6="Not Comply",T(FC!K6)&amp;"♦"&amp;T(FC!B6)&amp;"♦"&amp;T(FC!G6)&amp;"♦"&amp;T(FC!H6),"")</f>
        <v/>
      </c>
    </row>
    <row r="469" spans="11:12">
      <c r="K469" t="str">
        <f>IF(FC!F7="Not Comply",MAX($K$4:K468)+1,"")</f>
        <v/>
      </c>
      <c r="L469" t="str">
        <f>IF(FC!F7="Not Comply",T(FC!K7)&amp;"♦"&amp;T(FC!B7)&amp;"♦"&amp;T(FC!G7)&amp;"♦"&amp;T(FC!H7),"")</f>
        <v/>
      </c>
    </row>
    <row r="470" spans="11:12">
      <c r="K470" t="str">
        <f>IF(FC!F8="Not Comply",MAX($K$4:K469)+1,"")</f>
        <v/>
      </c>
      <c r="L470" t="str">
        <f>IF(FC!F8="Not Comply",T(FC!K8)&amp;"♦"&amp;T(FC!B8)&amp;"♦"&amp;T(FC!G8)&amp;"♦"&amp;T(FC!H8),"")</f>
        <v/>
      </c>
    </row>
    <row r="471" spans="11:12">
      <c r="K471" t="str">
        <f>IF(FC!F9="Not Comply",MAX($K$4:K470)+1,"")</f>
        <v/>
      </c>
      <c r="L471" t="str">
        <f>IF(FC!F9="Not Comply",T(FC!K9)&amp;"♦"&amp;T(FC!B9)&amp;"♦"&amp;T(FC!G9)&amp;"♦"&amp;T(FC!H9),"")</f>
        <v/>
      </c>
    </row>
    <row r="472" spans="11:12">
      <c r="K472" t="str">
        <f>IF(FC!F10="Not Comply",MAX($K$4:K471)+1,"")</f>
        <v/>
      </c>
      <c r="L472" t="str">
        <f>IF(FC!F10="Not Comply",T(FC!K10)&amp;"♦"&amp;T(FC!B10)&amp;"♦"&amp;T(FC!G10)&amp;"♦"&amp;T(FC!H10),"")</f>
        <v/>
      </c>
    </row>
    <row r="473" spans="11:12">
      <c r="K473" t="str">
        <f>IF(FC!F11="Not Comply",MAX($K$4:K472)+1,"")</f>
        <v/>
      </c>
      <c r="L473" t="str">
        <f>IF(FC!F11="Not Comply",T(FC!K11)&amp;"♦"&amp;T(FC!B11)&amp;"♦"&amp;T(FC!G11)&amp;"♦"&amp;T(FC!H11),"")</f>
        <v/>
      </c>
    </row>
    <row r="474" spans="11:12">
      <c r="K474" t="str">
        <f>IF(FC!F12="Not Comply",MAX($K$4:K473)+1,"")</f>
        <v/>
      </c>
      <c r="L474" t="str">
        <f>IF(FC!F12="Not Comply",T(FC!K12)&amp;"♦"&amp;T(FC!B12)&amp;"♦"&amp;T(FC!G12)&amp;"♦"&amp;T(FC!H12),"")</f>
        <v/>
      </c>
    </row>
    <row r="475" spans="11:12">
      <c r="K475" t="str">
        <f>IF(FC!F13="Not Comply",MAX($K$4:K474)+1,"")</f>
        <v/>
      </c>
      <c r="L475" t="str">
        <f>IF(FC!F13="Not Comply",T(FC!K13)&amp;"♦"&amp;T(FC!B13)&amp;"♦"&amp;T(FC!G13)&amp;"♦"&amp;T(FC!H13),"")</f>
        <v/>
      </c>
    </row>
    <row r="476" spans="11:12">
      <c r="K476" t="str">
        <f>IF(FC!F14="Not Comply",MAX($K$4:K475)+1,"")</f>
        <v/>
      </c>
      <c r="L476" t="str">
        <f>IF(FC!F14="Not Comply",T(FC!K14)&amp;"♦"&amp;T(FC!B14)&amp;"♦"&amp;T(FC!G14)&amp;"♦"&amp;T(FC!H14),"")</f>
        <v/>
      </c>
    </row>
    <row r="477" spans="11:12">
      <c r="K477" t="str">
        <f>IF(FC!F15="Not Comply",MAX($K$4:K476)+1,"")</f>
        <v/>
      </c>
      <c r="L477" t="str">
        <f>IF(FC!F15="Not Comply",T(FC!K15)&amp;"♦"&amp;T(FC!B15)&amp;"♦"&amp;T(FC!G15)&amp;"♦"&amp;T(FC!H15),"")</f>
        <v/>
      </c>
    </row>
    <row r="478" spans="11:12">
      <c r="K478" t="str">
        <f>IF(FC!F16="Not Comply",MAX($K$4:K477)+1,"")</f>
        <v/>
      </c>
      <c r="L478" t="str">
        <f>IF(FC!F16="Not Comply",T(FC!K16)&amp;"♦"&amp;T(FC!B16)&amp;"♦"&amp;T(FC!G16)&amp;"♦"&amp;T(FC!H16),"")</f>
        <v/>
      </c>
    </row>
    <row r="479" spans="11:12">
      <c r="K479" t="str">
        <f>IF(FC!F17="Not Comply",MAX($K$4:K478)+1,"")</f>
        <v/>
      </c>
      <c r="L479" t="str">
        <f>IF(FC!F17="Not Comply",T(FC!K17)&amp;"♦"&amp;T(FC!B17)&amp;"♦"&amp;T(FC!G17)&amp;"♦"&amp;T(FC!H17),"")</f>
        <v/>
      </c>
    </row>
    <row r="480" spans="11:12">
      <c r="K480" t="str">
        <f>IF(FC!F18="Not Comply",MAX($K$4:K479)+1,"")</f>
        <v/>
      </c>
      <c r="L480" t="str">
        <f>IF(FC!F18="Not Comply",T(FC!K18)&amp;"♦"&amp;T(FC!B18)&amp;"♦"&amp;T(FC!G18)&amp;"♦"&amp;T(FC!H18),"")</f>
        <v/>
      </c>
    </row>
    <row r="481" spans="11:12">
      <c r="K481" t="str">
        <f>IF(FC!F19="Not Comply",MAX($K$4:K480)+1,"")</f>
        <v/>
      </c>
      <c r="L481" t="str">
        <f>IF(FC!F19="Not Comply",T(FC!K19)&amp;"♦"&amp;T(FC!B19)&amp;"♦"&amp;T(FC!G19)&amp;"♦"&amp;T(FC!H19),"")</f>
        <v/>
      </c>
    </row>
    <row r="482" spans="11:12">
      <c r="K482" t="str">
        <f>IF(FC!F20="Not Comply",MAX($K$4:K481)+1,"")</f>
        <v/>
      </c>
      <c r="L482" t="str">
        <f>IF(FC!F20="Not Comply",T(FC!K20)&amp;"♦"&amp;T(FC!B20)&amp;"♦"&amp;T(FC!G20)&amp;"♦"&amp;T(FC!H20),"")</f>
        <v/>
      </c>
    </row>
    <row r="483" spans="11:12">
      <c r="K483" t="str">
        <f>IF(FC!F21="Not Comply",MAX($K$4:K482)+1,"")</f>
        <v/>
      </c>
      <c r="L483" t="str">
        <f>IF(FC!F21="Not Comply",T(FC!K21)&amp;"♦"&amp;T(FC!B21)&amp;"♦"&amp;T(FC!G21)&amp;"♦"&amp;T(FC!H21),"")</f>
        <v/>
      </c>
    </row>
    <row r="484" spans="11:12">
      <c r="K484" t="str">
        <f>IF(FC!F22="Not Comply",MAX($K$4:K483)+1,"")</f>
        <v/>
      </c>
      <c r="L484" t="str">
        <f>IF(FC!F22="Not Comply",T(FC!K22)&amp;"♦"&amp;T(FC!B22)&amp;"♦"&amp;T(FC!G22)&amp;"♦"&amp;T(FC!H22),"")</f>
        <v/>
      </c>
    </row>
    <row r="485" spans="11:12">
      <c r="K485" t="str">
        <f>IF(FC!F23="Not Comply",MAX($K$4:K484)+1,"")</f>
        <v/>
      </c>
      <c r="L485" t="str">
        <f>IF(FC!F23="Not Comply",T(FC!K23)&amp;"♦"&amp;T(FC!B23)&amp;"♦"&amp;T(FC!G23)&amp;"♦"&amp;T(FC!H23),"")</f>
        <v/>
      </c>
    </row>
    <row r="486" spans="11:12">
      <c r="K486" t="str">
        <f>IF(FC!F24="Not Comply",MAX($K$4:K485)+1,"")</f>
        <v/>
      </c>
      <c r="L486" t="str">
        <f>IF(FC!F24="Not Comply",T(FC!K24)&amp;"♦"&amp;T(FC!B24)&amp;"♦"&amp;T(FC!G24)&amp;"♦"&amp;T(FC!H24),"")</f>
        <v/>
      </c>
    </row>
    <row r="487" spans="11:12">
      <c r="K487" t="str">
        <f>IF(FC!F25="Not Comply",MAX($K$4:K486)+1,"")</f>
        <v/>
      </c>
      <c r="L487" t="str">
        <f>IF(FC!F25="Not Comply",T(FC!K25)&amp;"♦"&amp;T(FC!B25)&amp;"♦"&amp;T(FC!G25)&amp;"♦"&amp;T(FC!H25),"")</f>
        <v/>
      </c>
    </row>
    <row r="488" spans="11:12">
      <c r="K488" t="str">
        <f>IF(FC!F26="Not Comply",MAX($K$4:K487)+1,"")</f>
        <v/>
      </c>
      <c r="L488" t="str">
        <f>IF(FC!F26="Not Comply",T(FC!K26)&amp;"♦"&amp;T(FC!B26)&amp;"♦"&amp;T(FC!G26)&amp;"♦"&amp;T(FC!H26),"")</f>
        <v/>
      </c>
    </row>
    <row r="489" spans="11:12">
      <c r="K489" t="str">
        <f>IF(FC!F27="Not Comply",MAX($K$4:K488)+1,"")</f>
        <v/>
      </c>
      <c r="L489" t="str">
        <f>IF(FC!F27="Not Comply",T(FC!K27)&amp;"♦"&amp;T(FC!B27)&amp;"♦"&amp;T(FC!G27)&amp;"♦"&amp;T(FC!H27),"")</f>
        <v/>
      </c>
    </row>
    <row r="490" spans="11:12">
      <c r="K490" t="str">
        <f>IF(FC!F28="Not Comply",MAX($K$4:K489)+1,"")</f>
        <v/>
      </c>
      <c r="L490" t="str">
        <f>IF(FC!F28="Not Comply",T(FC!K28)&amp;"♦"&amp;T(FC!B28)&amp;"♦"&amp;T(FC!G28)&amp;"♦"&amp;T(FC!H28),"")</f>
        <v/>
      </c>
    </row>
    <row r="491" spans="11:12">
      <c r="K491" t="str">
        <f>IF(FC!F29="Not Comply",MAX($K$4:K490)+1,"")</f>
        <v/>
      </c>
      <c r="L491" t="str">
        <f>IF(FC!F29="Not Comply",T(FC!K29)&amp;"♦"&amp;T(FC!B29)&amp;"♦"&amp;T(FC!G29)&amp;"♦"&amp;T(FC!H29),"")</f>
        <v/>
      </c>
    </row>
    <row r="492" spans="11:12">
      <c r="K492" t="str">
        <f>IF(sewage!F4="Not Comply",MAX($K$4:K491)+1,"")</f>
        <v/>
      </c>
      <c r="L492" t="str">
        <f>IF(sewage!F4="Not Comply",T(sewage!K4)&amp;"♦"&amp;T(sewage!B4)&amp;"♦"&amp;T(sewage!G4)&amp;"♦"&amp;T(sewage!H4),"")</f>
        <v/>
      </c>
    </row>
    <row r="493" spans="11:12">
      <c r="K493" t="str">
        <f>IF(sewage!F5="Not Comply",MAX($K$4:K492)+1,"")</f>
        <v/>
      </c>
      <c r="L493" t="str">
        <f>IF(sewage!F5="Not Comply",T(sewage!K5)&amp;"♦"&amp;T(sewage!B5)&amp;"♦"&amp;T(sewage!G5)&amp;"♦"&amp;T(sewage!H5),"")</f>
        <v/>
      </c>
    </row>
    <row r="494" spans="11:12">
      <c r="K494" t="str">
        <f>IF(sewage!F6="Not Comply",MAX($K$4:K493)+1,"")</f>
        <v/>
      </c>
      <c r="L494" t="str">
        <f>IF(sewage!F6="Not Comply",T(sewage!K6)&amp;"♦"&amp;T(sewage!B6)&amp;"♦"&amp;T(sewage!G6)&amp;"♦"&amp;T(sewage!H6),"")</f>
        <v/>
      </c>
    </row>
    <row r="495" spans="11:12">
      <c r="K495" t="str">
        <f>IF(sewage!F7="Not Comply",MAX($K$4:K494)+1,"")</f>
        <v/>
      </c>
      <c r="L495" t="str">
        <f>IF(sewage!F7="Not Comply",T(sewage!K7)&amp;"♦"&amp;T(sewage!B7)&amp;"♦"&amp;T(sewage!G7)&amp;"♦"&amp;T(sewage!H7),"")</f>
        <v/>
      </c>
    </row>
    <row r="496" spans="11:12">
      <c r="K496" t="str">
        <f>IF(sewage!F8="Not Comply",MAX($K$4:K495)+1,"")</f>
        <v/>
      </c>
      <c r="L496" t="str">
        <f>IF(sewage!F8="Not Comply",T(sewage!K8)&amp;"♦"&amp;T(sewage!B8)&amp;"♦"&amp;T(sewage!G8)&amp;"♦"&amp;T(sewage!H8),"")</f>
        <v/>
      </c>
    </row>
    <row r="497" spans="11:12">
      <c r="K497" t="str">
        <f>IF(sewage!F9="Not Comply",MAX($K$4:K496)+1,"")</f>
        <v/>
      </c>
      <c r="L497" t="str">
        <f>IF(sewage!F9="Not Comply",T(sewage!K9)&amp;"♦"&amp;T(sewage!B9)&amp;"♦"&amp;T(sewage!G9)&amp;"♦"&amp;T(sewage!H9),"")</f>
        <v/>
      </c>
    </row>
    <row r="498" spans="11:12">
      <c r="K498" t="str">
        <f>IF(sewage!F10="Not Comply",MAX($K$4:K497)+1,"")</f>
        <v/>
      </c>
      <c r="L498" t="str">
        <f>IF(sewage!F10="Not Comply",T(sewage!K10)&amp;"♦"&amp;T(sewage!B10)&amp;"♦"&amp;T(sewage!G10)&amp;"♦"&amp;T(sewage!H10),"")</f>
        <v/>
      </c>
    </row>
    <row r="499" spans="11:12">
      <c r="K499" t="str">
        <f>IF(sewage!F11="Not Comply",MAX($K$4:K498)+1,"")</f>
        <v/>
      </c>
      <c r="L499" t="str">
        <f>IF(sewage!F11="Not Comply",T(sewage!K11)&amp;"♦"&amp;T(sewage!B11)&amp;"♦"&amp;T(sewage!G11)&amp;"♦"&amp;T(sewage!H11),"")</f>
        <v/>
      </c>
    </row>
    <row r="500" spans="11:12">
      <c r="K500" t="str">
        <f>IF(sewage!F12="Not Comply",MAX($K$4:K499)+1,"")</f>
        <v/>
      </c>
      <c r="L500" t="str">
        <f>IF(sewage!F12="Not Comply",T(sewage!K12)&amp;"♦"&amp;T(sewage!B12)&amp;"♦"&amp;T(sewage!G12)&amp;"♦"&amp;T(sewage!H12),"")</f>
        <v/>
      </c>
    </row>
    <row r="501" spans="11:12">
      <c r="K501" t="str">
        <f>IF(sewage!F13="Not Comply",MAX($K$4:K500)+1,"")</f>
        <v/>
      </c>
      <c r="L501" t="str">
        <f>IF(sewage!F13="Not Comply",T(sewage!K13)&amp;"♦"&amp;T(sewage!B13)&amp;"♦"&amp;T(sewage!G13)&amp;"♦"&amp;T(sewage!H13),"")</f>
        <v/>
      </c>
    </row>
    <row r="502" spans="11:12">
      <c r="K502" t="str">
        <f>IF(sewage!F14="Not Comply",MAX($K$4:K501)+1,"")</f>
        <v/>
      </c>
      <c r="L502" t="str">
        <f>IF(sewage!F14="Not Comply",T(sewage!K14)&amp;"♦"&amp;T(sewage!B14)&amp;"♦"&amp;T(sewage!G14)&amp;"♦"&amp;T(sewage!H14),"")</f>
        <v/>
      </c>
    </row>
    <row r="503" spans="11:12">
      <c r="K503" t="str">
        <f>IF(sewage!F15="Not Comply",MAX($K$4:K502)+1,"")</f>
        <v/>
      </c>
      <c r="L503" t="str">
        <f>IF(sewage!F15="Not Comply",T(sewage!K15)&amp;"♦"&amp;T(sewage!B15)&amp;"♦"&amp;T(sewage!G15)&amp;"♦"&amp;T(sewage!H15),"")</f>
        <v/>
      </c>
    </row>
    <row r="504" spans="11:12">
      <c r="K504" t="str">
        <f>IF(sewage!F16="Not Comply",MAX($K$4:K503)+1,"")</f>
        <v/>
      </c>
      <c r="L504" t="str">
        <f>IF(sewage!F16="Not Comply",T(sewage!K16)&amp;"♦"&amp;T(sewage!B16)&amp;"♦"&amp;T(sewage!G16)&amp;"♦"&amp;T(sewage!H16),"")</f>
        <v/>
      </c>
    </row>
    <row r="505" spans="11:12">
      <c r="K505" t="str">
        <f>IF(sewage!F17="Not Comply",MAX($K$4:K504)+1,"")</f>
        <v/>
      </c>
      <c r="L505" t="str">
        <f>IF(sewage!F17="Not Comply",T(sewage!K17)&amp;"♦"&amp;T(sewage!B17)&amp;"♦"&amp;T(sewage!G17)&amp;"♦"&amp;T(sewage!H17),"")</f>
        <v/>
      </c>
    </row>
    <row r="506" spans="11:12">
      <c r="K506" t="str">
        <f>IF(sewage!F18="Not Comply",MAX($K$4:K505)+1,"")</f>
        <v/>
      </c>
      <c r="L506" t="str">
        <f>IF(sewage!F18="Not Comply",T(sewage!K18)&amp;"♦"&amp;T(sewage!B18)&amp;"♦"&amp;T(sewage!G18)&amp;"♦"&amp;T(sewage!H18),"")</f>
        <v/>
      </c>
    </row>
    <row r="507" spans="11:12">
      <c r="K507" t="str">
        <f>IF(sewage!F19="Not Comply",MAX($K$4:K506)+1,"")</f>
        <v/>
      </c>
      <c r="L507" t="str">
        <f>IF(sewage!F19="Not Comply",T(sewage!K19)&amp;"♦"&amp;T(sewage!B19)&amp;"♦"&amp;T(sewage!G19)&amp;"♦"&amp;T(sewage!H19),"")</f>
        <v/>
      </c>
    </row>
    <row r="508" spans="11:12">
      <c r="K508" t="str">
        <f>IF(sewage!F20="Not Comply",MAX($K$4:K507)+1,"")</f>
        <v/>
      </c>
      <c r="L508" t="str">
        <f>IF(sewage!F20="Not Comply",T(sewage!K20)&amp;"♦"&amp;T(sewage!B20)&amp;"♦"&amp;T(sewage!G20)&amp;"♦"&amp;T(sewage!H20),"")</f>
        <v/>
      </c>
    </row>
    <row r="509" spans="11:12">
      <c r="K509" t="str">
        <f>IF(refrigerant!F4="Not Comply",MAX($K$4:K508)+1,"")</f>
        <v/>
      </c>
      <c r="L509" t="str">
        <f>IF(refrigerant!F4="Not Comply",T(refrigerant!K4)&amp;"♦"&amp;T(refrigerant!B4)&amp;"♦"&amp;T(refrigerant!G4)&amp;"♦"&amp;T(refrigerant!H4),"")</f>
        <v/>
      </c>
    </row>
    <row r="510" spans="11:12">
      <c r="K510" t="str">
        <f>IF(refrigerant!F5="Not Comply",MAX($K$4:K509)+1,"")</f>
        <v/>
      </c>
      <c r="L510" t="str">
        <f>IF(refrigerant!F5="Not Comply",T(refrigerant!K5)&amp;"♦"&amp;T(refrigerant!B5)&amp;"♦"&amp;T(refrigerant!G5)&amp;"♦"&amp;T(refrigerant!H5),"")</f>
        <v/>
      </c>
    </row>
    <row r="511" spans="11:12">
      <c r="K511" t="str">
        <f>IF(refrigerant!F6="Not Comply",MAX($K$4:K510)+1,"")</f>
        <v/>
      </c>
      <c r="L511" t="str">
        <f>IF(refrigerant!F6="Not Comply",T(refrigerant!K6)&amp;"♦"&amp;T(refrigerant!B6)&amp;"♦"&amp;T(refrigerant!G6)&amp;"♦"&amp;T(refrigerant!H6),"")</f>
        <v/>
      </c>
    </row>
    <row r="512" spans="11:12">
      <c r="K512" t="str">
        <f>IF(refrigerant!F7="Not Comply",MAX($K$4:K511)+1,"")</f>
        <v/>
      </c>
      <c r="L512" t="str">
        <f>IF(refrigerant!F7="Not Comply",T(refrigerant!K7)&amp;"♦"&amp;T(refrigerant!B7)&amp;"♦"&amp;T(refrigerant!G7)&amp;"♦"&amp;T(refrigerant!H7),"")</f>
        <v/>
      </c>
    </row>
    <row r="513" spans="11:12">
      <c r="K513" t="str">
        <f>IF(refrigerant!F8="Not Comply",MAX($K$4:K512)+1,"")</f>
        <v/>
      </c>
      <c r="L513" t="str">
        <f>IF(refrigerant!F8="Not Comply",T(refrigerant!K8)&amp;"♦"&amp;T(refrigerant!B8)&amp;"♦"&amp;T(refrigerant!G8)&amp;"♦"&amp;T(refrigerant!H8),"")</f>
        <v/>
      </c>
    </row>
    <row r="514" spans="11:12">
      <c r="K514" t="str">
        <f>IF(refrigerant!F9="Not Comply",MAX($K$4:K513)+1,"")</f>
        <v/>
      </c>
      <c r="L514" t="str">
        <f>IF(refrigerant!F9="Not Comply",T(refrigerant!K9)&amp;"♦"&amp;T(refrigerant!B9)&amp;"♦"&amp;T(refrigerant!G9)&amp;"♦"&amp;T(refrigerant!H9),"")</f>
        <v/>
      </c>
    </row>
    <row r="515" spans="11:12">
      <c r="K515" t="str">
        <f>IF(refrigerant!F10="Not Comply",MAX($K$4:K514)+1,"")</f>
        <v/>
      </c>
      <c r="L515" t="str">
        <f>IF(refrigerant!F10="Not Comply",T(refrigerant!K10)&amp;"♦"&amp;T(refrigerant!B10)&amp;"♦"&amp;T(refrigerant!G10)&amp;"♦"&amp;T(refrigerant!H10),"")</f>
        <v/>
      </c>
    </row>
    <row r="516" spans="11:12">
      <c r="K516" t="str">
        <f>IF(refrigerant!F11="Not Comply",MAX($K$4:K515)+1,"")</f>
        <v/>
      </c>
      <c r="L516" t="str">
        <f>IF(refrigerant!F11="Not Comply",T(refrigerant!K11)&amp;"♦"&amp;T(refrigerant!B11)&amp;"♦"&amp;T(refrigerant!G11)&amp;"♦"&amp;T(refrigerant!H11),"")</f>
        <v/>
      </c>
    </row>
    <row r="517" spans="11:12">
      <c r="K517" t="str">
        <f>IF(refrigerant!F12="Not Comply",MAX($K$4:K516)+1,"")</f>
        <v/>
      </c>
      <c r="L517" t="str">
        <f>IF(refrigerant!F12="Not Comply",T(refrigerant!K12)&amp;"♦"&amp;T(refrigerant!B12)&amp;"♦"&amp;T(refrigerant!G12)&amp;"♦"&amp;T(refrigerant!H12),"")</f>
        <v/>
      </c>
    </row>
    <row r="518" spans="11:12">
      <c r="K518" t="str">
        <f>IF(UBBL!F4="Not Comply",MAX($K$4:K517)+1,"")</f>
        <v/>
      </c>
      <c r="L518" t="str">
        <f>IF(UBBL!F4="Not Comply",T(UBBL!K4)&amp;"♦"&amp;T(UBBL!B4)&amp;"♦"&amp;T(UBBL!G4)&amp;"♦"&amp;T(UBBL!H4),"")</f>
        <v/>
      </c>
    </row>
    <row r="519" spans="11:12">
      <c r="K519" t="str">
        <f>IF(UBBL!F5="Not Comply",MAX($K$4:K518)+1,"")</f>
        <v/>
      </c>
      <c r="L519" t="str">
        <f>IF(UBBL!F5="Not Comply",T(UBBL!K5)&amp;"♦"&amp;T(UBBL!B5)&amp;"♦"&amp;T(UBBL!G5)&amp;"♦"&amp;T(UBBL!H5),"")</f>
        <v/>
      </c>
    </row>
    <row r="520" spans="11:12">
      <c r="K520" t="str">
        <f>IF(UBBL!F6="Not Comply",MAX($K$4:K519)+1,"")</f>
        <v/>
      </c>
      <c r="L520" t="str">
        <f>IF(UBBL!F6="Not Comply",T(UBBL!K6)&amp;"♦"&amp;T(UBBL!B6)&amp;"♦"&amp;T(UBBL!G6)&amp;"♦"&amp;T(UBBL!H6),"")</f>
        <v/>
      </c>
    </row>
    <row r="521" spans="11:12">
      <c r="K521" t="str">
        <f>IF(UBBL!F7="Not Comply",MAX($K$4:K520)+1,"")</f>
        <v/>
      </c>
      <c r="L521" t="str">
        <f>IF(UBBL!F7="Not Comply",T(UBBL!K7)&amp;"♦"&amp;T(UBBL!B7)&amp;"♦"&amp;T(UBBL!G7)&amp;"♦"&amp;T(UBBL!H7),"")</f>
        <v/>
      </c>
    </row>
    <row r="522" spans="11:12">
      <c r="K522" t="str">
        <f>IF(UBBL!F8="Not Comply",MAX($K$4:K521)+1,"")</f>
        <v/>
      </c>
      <c r="L522" t="str">
        <f>IF(UBBL!F8="Not Comply",T(UBBL!K8)&amp;"♦"&amp;T(UBBL!B8)&amp;"♦"&amp;T(UBBL!G8)&amp;"♦"&amp;T(UBBL!H8),"")</f>
        <v/>
      </c>
    </row>
    <row r="523" spans="11:12">
      <c r="K523" t="str">
        <f>IF(UBBL!F9="Not Comply",MAX($K$4:K522)+1,"")</f>
        <v/>
      </c>
      <c r="L523" t="str">
        <f>IF(UBBL!F9="Not Comply",T(UBBL!K9)&amp;"♦"&amp;T(UBBL!B9)&amp;"♦"&amp;T(UBBL!G9)&amp;"♦"&amp;T(UBBL!H9),"")</f>
        <v/>
      </c>
    </row>
    <row r="524" spans="11:12">
      <c r="K524" t="str">
        <f>IF(UBBL!F10="Not Comply",MAX($K$4:K523)+1,"")</f>
        <v/>
      </c>
      <c r="L524" t="str">
        <f>IF(UBBL!F10="Not Comply",T(UBBL!K10)&amp;"♦"&amp;T(UBBL!B10)&amp;"♦"&amp;T(UBBL!G10)&amp;"♦"&amp;T(UBBL!H10),"")</f>
        <v/>
      </c>
    </row>
    <row r="525" spans="11:12">
      <c r="K525" t="str">
        <f>IF(UBBL!F11="Not Comply",MAX($K$4:K524)+1,"")</f>
        <v/>
      </c>
      <c r="L525" t="str">
        <f>IF(UBBL!F11="Not Comply",T(UBBL!K11)&amp;"♦"&amp;T(UBBL!B11)&amp;"♦"&amp;T(UBBL!G11)&amp;"♦"&amp;T(UBBL!H11),"")</f>
        <v/>
      </c>
    </row>
    <row r="526" spans="11:12">
      <c r="K526" t="str">
        <f>IF(UBBL!F12="Not Comply",MAX($K$4:K525)+1,"")</f>
        <v/>
      </c>
      <c r="L526" t="str">
        <f>IF(UBBL!F12="Not Comply",T(UBBL!K12)&amp;"♦"&amp;T(UBBL!B12)&amp;"♦"&amp;T(UBBL!G12)&amp;"♦"&amp;T(UBBL!H12),"")</f>
        <v/>
      </c>
    </row>
    <row r="527" spans="11:12">
      <c r="K527" t="str">
        <f>IF(UBBL!F13="Not Comply",MAX($K$4:K526)+1,"")</f>
        <v/>
      </c>
      <c r="L527" t="str">
        <f>IF(UBBL!F13="Not Comply",T(UBBL!K13)&amp;"♦"&amp;T(UBBL!B13)&amp;"♦"&amp;T(UBBL!G13)&amp;"♦"&amp;T(UBBL!H13),"")</f>
        <v/>
      </c>
    </row>
    <row r="528" spans="11:12">
      <c r="K528" t="str">
        <f>IF(UBBL!F14="Not Comply",MAX($K$4:K527)+1,"")</f>
        <v/>
      </c>
      <c r="L528" t="str">
        <f>IF(UBBL!F14="Not Comply",T(UBBL!K14)&amp;"♦"&amp;T(UBBL!B14)&amp;"♦"&amp;T(UBBL!G14)&amp;"♦"&amp;T(UBBL!H14),"")</f>
        <v/>
      </c>
    </row>
    <row r="529" spans="11:12">
      <c r="K529" t="str">
        <f>IF(UBBL!F15="Not Comply",MAX($K$4:K528)+1,"")</f>
        <v/>
      </c>
      <c r="L529" t="str">
        <f>IF(UBBL!F15="Not Comply",T(UBBL!K15)&amp;"♦"&amp;T(UBBL!B15)&amp;"♦"&amp;T(UBBL!G15)&amp;"♦"&amp;T(UBBL!H15),"")</f>
        <v/>
      </c>
    </row>
    <row r="530" spans="11:12">
      <c r="K530" t="str">
        <f>IF(UBBL!F16="Not Comply",MAX($K$4:K529)+1,"")</f>
        <v/>
      </c>
      <c r="L530" t="str">
        <f>IF(UBBL!F16="Not Comply",T(UBBL!K16)&amp;"♦"&amp;T(UBBL!B16)&amp;"♦"&amp;T(UBBL!G16)&amp;"♦"&amp;T(UBBL!H16),"")</f>
        <v/>
      </c>
    </row>
    <row r="531" spans="11:12">
      <c r="K531" t="str">
        <f>IF(UBBL!F17="Not Comply",MAX($K$4:K530)+1,"")</f>
        <v/>
      </c>
      <c r="L531" t="str">
        <f>IF(UBBL!F17="Not Comply",T(UBBL!K17)&amp;"♦"&amp;T(UBBL!B17)&amp;"♦"&amp;T(UBBL!G17)&amp;"♦"&amp;T(UBBL!H17),"")</f>
        <v/>
      </c>
    </row>
    <row r="532" spans="11:12">
      <c r="K532" t="str">
        <f>IF(UBBL!F18="Not Comply",MAX($K$4:K531)+1,"")</f>
        <v/>
      </c>
      <c r="L532" t="str">
        <f>IF(UBBL!F18="Not Comply",T(UBBL!K18)&amp;"♦"&amp;T(UBBL!B18)&amp;"♦"&amp;T(UBBL!G18)&amp;"♦"&amp;T(UBBL!H18),"")</f>
        <v/>
      </c>
    </row>
    <row r="533" spans="11:12">
      <c r="K533" t="str">
        <f>IF(UBBL!F19="Not Comply",MAX($K$4:K532)+1,"")</f>
        <v/>
      </c>
      <c r="L533" t="str">
        <f>IF(UBBL!F19="Not Comply",T(UBBL!K19)&amp;"♦"&amp;T(UBBL!B19)&amp;"♦"&amp;T(UBBL!G19)&amp;"♦"&amp;T(UBBL!H19),"")</f>
        <v/>
      </c>
    </row>
    <row r="534" spans="11:12">
      <c r="K534" t="str">
        <f>IF(UBBL!F20="Not Comply",MAX($K$4:K533)+1,"")</f>
        <v/>
      </c>
      <c r="L534" t="str">
        <f>IF(UBBL!F20="Not Comply",T(UBBL!K20)&amp;"♦"&amp;T(UBBL!B20)&amp;"♦"&amp;T(UBBL!G20)&amp;"♦"&amp;T(UBBL!H20),"")</f>
        <v/>
      </c>
    </row>
    <row r="535" spans="11:12">
      <c r="K535" t="str">
        <f>IF(UBBL!F21="Not Comply",MAX($K$4:K534)+1,"")</f>
        <v/>
      </c>
      <c r="L535" t="str">
        <f>IF(UBBL!F21="Not Comply",T(UBBL!K21)&amp;"♦"&amp;T(UBBL!B21)&amp;"♦"&amp;T(UBBL!G21)&amp;"♦"&amp;T(UBBL!H21),"")</f>
        <v/>
      </c>
    </row>
    <row r="536" spans="11:12">
      <c r="K536" t="str">
        <f>IF(UBBL!F22="Not Comply",MAX($K$4:K535)+1,"")</f>
        <v/>
      </c>
      <c r="L536" t="str">
        <f>IF(UBBL!F22="Not Comply",T(UBBL!K22)&amp;"♦"&amp;T(UBBL!B22)&amp;"♦"&amp;T(UBBL!G22)&amp;"♦"&amp;T(UBBL!H22),"")</f>
        <v/>
      </c>
    </row>
    <row r="537" spans="11:12">
      <c r="K537" t="str">
        <f>IF(UBBL!F23="Not Comply",MAX($K$4:K536)+1,"")</f>
        <v/>
      </c>
      <c r="L537" t="str">
        <f>IF(UBBL!F23="Not Comply",T(UBBL!K23)&amp;"♦"&amp;T(UBBL!B23)&amp;"♦"&amp;T(UBBL!G23)&amp;"♦"&amp;T(UBBL!H23),"")</f>
        <v/>
      </c>
    </row>
    <row r="538" spans="11:12">
      <c r="K538" t="str">
        <f>IF(UBBL!F24="Not Comply",MAX($K$4:K537)+1,"")</f>
        <v/>
      </c>
      <c r="L538" t="str">
        <f>IF(UBBL!F24="Not Comply",T(UBBL!K24)&amp;"♦"&amp;T(UBBL!B24)&amp;"♦"&amp;T(UBBL!G24)&amp;"♦"&amp;T(UBBL!H24),"")</f>
        <v/>
      </c>
    </row>
    <row r="539" spans="11:12">
      <c r="K539" t="str">
        <f>IF(UBBL!F25="Not Comply",MAX($K$4:K538)+1,"")</f>
        <v/>
      </c>
      <c r="L539" t="str">
        <f>IF(UBBL!F25="Not Comply",T(UBBL!K25)&amp;"♦"&amp;T(UBBL!B25)&amp;"♦"&amp;T(UBBL!G25)&amp;"♦"&amp;T(UBBL!H25),"")</f>
        <v/>
      </c>
    </row>
    <row r="540" spans="11:12">
      <c r="K540" t="str">
        <f>IF(UBBL!F26="Not Comply",MAX($K$4:K539)+1,"")</f>
        <v/>
      </c>
      <c r="L540" t="str">
        <f>IF(UBBL!F26="Not Comply",T(UBBL!K26)&amp;"♦"&amp;T(UBBL!B26)&amp;"♦"&amp;T(UBBL!G26)&amp;"♦"&amp;T(UBBL!H26),"")</f>
        <v/>
      </c>
    </row>
    <row r="541" spans="11:12">
      <c r="K541" t="str">
        <f>IF(UBBL!F27="Not Comply",MAX($K$4:K540)+1,"")</f>
        <v/>
      </c>
      <c r="L541" t="str">
        <f>IF(UBBL!F27="Not Comply",T(UBBL!K27)&amp;"♦"&amp;T(UBBL!B27)&amp;"♦"&amp;T(UBBL!G27)&amp;"♦"&amp;T(UBBL!H27),"")</f>
        <v/>
      </c>
    </row>
    <row r="542" spans="11:12">
      <c r="K542" t="str">
        <f>IF(UBBL!F28="Not Comply",MAX($K$4:K541)+1,"")</f>
        <v/>
      </c>
      <c r="L542" t="str">
        <f>IF(UBBL!F28="Not Comply",T(UBBL!K28)&amp;"♦"&amp;T(UBBL!B28)&amp;"♦"&amp;T(UBBL!G28)&amp;"♦"&amp;T(UBBL!H28),"")</f>
        <v/>
      </c>
    </row>
    <row r="543" spans="11:12">
      <c r="K543" t="str">
        <f>IF(UBBL!F29="Not Comply",MAX($K$4:K542)+1,"")</f>
        <v/>
      </c>
      <c r="L543" t="str">
        <f>IF(UBBL!F29="Not Comply",T(UBBL!K29)&amp;"♦"&amp;T(UBBL!B29)&amp;"♦"&amp;T(UBBL!G29)&amp;"♦"&amp;T(UBBL!H29),"")</f>
        <v/>
      </c>
    </row>
    <row r="544" spans="11:12">
      <c r="K544" t="str">
        <f>IF(UBBL!F30="Not Comply",MAX($K$4:K543)+1,"")</f>
        <v/>
      </c>
      <c r="L544" t="str">
        <f>IF(UBBL!F30="Not Comply",T(UBBL!K30)&amp;"♦"&amp;T(UBBL!B30)&amp;"♦"&amp;T(UBBL!G30)&amp;"♦"&amp;T(UBBL!H30),"")</f>
        <v/>
      </c>
    </row>
    <row r="545" spans="11:12">
      <c r="K545" t="str">
        <f>IF(UBBL!F31="Not Comply",MAX($K$4:K544)+1,"")</f>
        <v/>
      </c>
      <c r="L545" t="str">
        <f>IF(UBBL!F31="Not Comply",T(UBBL!K31)&amp;"♦"&amp;T(UBBL!B31)&amp;"♦"&amp;T(UBBL!G31)&amp;"♦"&amp;T(UBBL!H31),"")</f>
        <v/>
      </c>
    </row>
    <row r="546" spans="11:12">
      <c r="K546" t="str">
        <f>IF(UBBL!F32="Not Comply",MAX($K$4:K545)+1,"")</f>
        <v/>
      </c>
      <c r="L546" t="str">
        <f>IF(UBBL!F32="Not Comply",T(UBBL!K32)&amp;"♦"&amp;T(UBBL!B32)&amp;"♦"&amp;T(UBBL!G32)&amp;"♦"&amp;T(UBBL!H32),"")</f>
        <v/>
      </c>
    </row>
    <row r="547" spans="11:12">
      <c r="K547" t="str">
        <f>IF(UBBL!F33="Not Comply",MAX($K$4:K546)+1,"")</f>
        <v/>
      </c>
      <c r="L547" t="str">
        <f>IF(UBBL!F33="Not Comply",T(UBBL!K33)&amp;"♦"&amp;T(UBBL!B33)&amp;"♦"&amp;T(UBBL!G33)&amp;"♦"&amp;T(UBBL!H33),"")</f>
        <v/>
      </c>
    </row>
    <row r="548" spans="11:12">
      <c r="K548" t="str">
        <f>IF(UBBL!F34="Not Comply",MAX($K$4:K547)+1,"")</f>
        <v/>
      </c>
      <c r="L548" t="str">
        <f>IF(UBBL!F34="Not Comply",T(UBBL!K34)&amp;"♦"&amp;T(UBBL!B34)&amp;"♦"&amp;T(UBBL!G34)&amp;"♦"&amp;T(UBBL!H34),"")</f>
        <v/>
      </c>
    </row>
    <row r="549" spans="11:12">
      <c r="K549" t="str">
        <f>IF(UBBL!F35="Not Comply",MAX($K$4:K548)+1,"")</f>
        <v/>
      </c>
      <c r="L549" t="str">
        <f>IF(UBBL!F35="Not Comply",T(UBBL!K35)&amp;"♦"&amp;T(UBBL!B35)&amp;"♦"&amp;T(UBBL!G35)&amp;"♦"&amp;T(UBBL!H35),"")</f>
        <v/>
      </c>
    </row>
    <row r="550" spans="11:12">
      <c r="K550" t="str">
        <f>IF(UBBL!F36="Not Comply",MAX($K$4:K549)+1,"")</f>
        <v/>
      </c>
      <c r="L550" t="str">
        <f>IF(UBBL!F36="Not Comply",T(UBBL!K36)&amp;"♦"&amp;T(UBBL!B36)&amp;"♦"&amp;T(UBBL!G36)&amp;"♦"&amp;T(UBBL!H36),"")</f>
        <v/>
      </c>
    </row>
    <row r="551" spans="11:12">
      <c r="K551" t="str">
        <f>IF(UBBL!F37="Not Comply",MAX($K$4:K550)+1,"")</f>
        <v/>
      </c>
      <c r="L551" t="str">
        <f>IF(UBBL!F37="Not Comply",T(UBBL!K37)&amp;"♦"&amp;T(UBBL!B37)&amp;"♦"&amp;T(UBBL!G37)&amp;"♦"&amp;T(UBBL!H37),"")</f>
        <v/>
      </c>
    </row>
    <row r="552" spans="11:12">
      <c r="K552" t="str">
        <f>IF(UBBL!F38="Not Comply",MAX($K$4:K551)+1,"")</f>
        <v/>
      </c>
      <c r="L552" t="str">
        <f>IF(UBBL!F38="Not Comply",T(UBBL!K38)&amp;"♦"&amp;T(UBBL!B38)&amp;"♦"&amp;T(UBBL!G38)&amp;"♦"&amp;T(UBBL!H38),"")</f>
        <v/>
      </c>
    </row>
    <row r="553" spans="11:12">
      <c r="K553" t="str">
        <f>IF(UBBL!F39="Not Comply",MAX($K$4:K552)+1,"")</f>
        <v/>
      </c>
      <c r="L553" t="str">
        <f>IF(UBBL!F39="Not Comply",T(UBBL!K39)&amp;"♦"&amp;T(UBBL!B39)&amp;"♦"&amp;T(UBBL!G39)&amp;"♦"&amp;T(UBBL!H39),"")</f>
        <v/>
      </c>
    </row>
    <row r="554" spans="11:12">
      <c r="K554" t="str">
        <f>IF(UBBL!F40="Not Comply",MAX($K$4:K553)+1,"")</f>
        <v/>
      </c>
      <c r="L554" t="str">
        <f>IF(UBBL!F40="Not Comply",T(UBBL!K40)&amp;"♦"&amp;T(UBBL!B40)&amp;"♦"&amp;T(UBBL!G40)&amp;"♦"&amp;T(UBBL!H40),"")</f>
        <v/>
      </c>
    </row>
    <row r="555" spans="11:12">
      <c r="K555" t="str">
        <f>IF(UBBL!F41="Not Comply",MAX($K$4:K554)+1,"")</f>
        <v/>
      </c>
      <c r="L555" t="str">
        <f>IF(UBBL!F41="Not Comply",T(UBBL!K41)&amp;"♦"&amp;T(UBBL!B41)&amp;"♦"&amp;T(UBBL!G41)&amp;"♦"&amp;T(UBBL!H41),"")</f>
        <v/>
      </c>
    </row>
    <row r="556" spans="11:12">
      <c r="K556" t="str">
        <f>IF(UBBL!F42="Not Comply",MAX($K$4:K555)+1,"")</f>
        <v/>
      </c>
      <c r="L556" t="str">
        <f>IF(UBBL!F42="Not Comply",T(UBBL!K42)&amp;"♦"&amp;T(UBBL!B42)&amp;"♦"&amp;T(UBBL!G42)&amp;"♦"&amp;T(UBBL!H42),"")</f>
        <v/>
      </c>
    </row>
    <row r="557" spans="11:12">
      <c r="K557" t="str">
        <f>IF(UBBL!F43="Not Comply",MAX($K$4:K556)+1,"")</f>
        <v/>
      </c>
      <c r="L557" t="str">
        <f>IF(UBBL!F43="Not Comply",T(UBBL!K43)&amp;"♦"&amp;T(UBBL!B43)&amp;"♦"&amp;T(UBBL!G43)&amp;"♦"&amp;T(UBBL!H43),"")</f>
        <v/>
      </c>
    </row>
    <row r="558" spans="11:12">
      <c r="K558" t="str">
        <f>IF(UBBL!F44="Not Comply",MAX($K$4:K557)+1,"")</f>
        <v/>
      </c>
      <c r="L558" t="str">
        <f>IF(UBBL!F44="Not Comply",T(UBBL!K44)&amp;"♦"&amp;T(UBBL!B44)&amp;"♦"&amp;T(UBBL!G44)&amp;"♦"&amp;T(UBBL!H44),"")</f>
        <v/>
      </c>
    </row>
    <row r="559" spans="11:12">
      <c r="K559" t="str">
        <f>IF(UBBL!F45="Not Comply",MAX($K$4:K558)+1,"")</f>
        <v/>
      </c>
      <c r="L559" t="str">
        <f>IF(UBBL!F45="Not Comply",T(UBBL!K45)&amp;"♦"&amp;T(UBBL!B45)&amp;"♦"&amp;T(UBBL!G45)&amp;"♦"&amp;T(UBBL!H45),"")</f>
        <v/>
      </c>
    </row>
    <row r="560" spans="11:12">
      <c r="K560" t="str">
        <f>IF(UBBL!F46="Not Comply",MAX($K$4:K559)+1,"")</f>
        <v/>
      </c>
      <c r="L560" t="str">
        <f>IF(UBBL!F46="Not Comply",T(UBBL!K46)&amp;"♦"&amp;T(UBBL!B46)&amp;"♦"&amp;T(UBBL!G46)&amp;"♦"&amp;T(UBBL!H46),"")</f>
        <v/>
      </c>
    </row>
    <row r="561" spans="11:12">
      <c r="K561" t="str">
        <f>IF(UBBL!F47="Not Comply",MAX($K$4:K560)+1,"")</f>
        <v/>
      </c>
      <c r="L561" t="str">
        <f>IF(UBBL!F47="Not Comply",T(UBBL!K47)&amp;"♦"&amp;T(UBBL!B47)&amp;"♦"&amp;T(UBBL!G47)&amp;"♦"&amp;T(UBBL!H47),"")</f>
        <v/>
      </c>
    </row>
    <row r="562" spans="11:12">
      <c r="K562" t="str">
        <f>IF(UBBL!F48="Not Comply",MAX($K$4:K561)+1,"")</f>
        <v/>
      </c>
      <c r="L562" t="str">
        <f>IF(UBBL!F48="Not Comply",T(UBBL!K48)&amp;"♦"&amp;T(UBBL!B48)&amp;"♦"&amp;T(UBBL!G48)&amp;"♦"&amp;T(UBBL!H48),"")</f>
        <v/>
      </c>
    </row>
    <row r="563" spans="11:12">
      <c r="K563" t="str">
        <f>IF(UBBL!F49="Not Comply",MAX($K$4:K562)+1,"")</f>
        <v/>
      </c>
      <c r="L563" t="str">
        <f>IF(UBBL!F49="Not Comply",T(UBBL!K49)&amp;"♦"&amp;T(UBBL!B49)&amp;"♦"&amp;T(UBBL!G49)&amp;"♦"&amp;T(UBBL!H49),"")</f>
        <v/>
      </c>
    </row>
    <row r="564" spans="11:12">
      <c r="K564" t="str">
        <f>IF(UBBL!F50="Not Comply",MAX($K$4:K563)+1,"")</f>
        <v/>
      </c>
      <c r="L564" t="str">
        <f>IF(UBBL!F50="Not Comply",T(UBBL!K50)&amp;"♦"&amp;T(UBBL!B50)&amp;"♦"&amp;T(UBBL!G50)&amp;"♦"&amp;T(UBBL!H50),"")</f>
        <v/>
      </c>
    </row>
    <row r="565" spans="11:12">
      <c r="K565" t="str">
        <f>IF(UBBL!F51="Not Comply",MAX($K$4:K564)+1,"")</f>
        <v/>
      </c>
      <c r="L565" t="str">
        <f>IF(UBBL!F51="Not Comply",T(UBBL!K51)&amp;"♦"&amp;T(UBBL!B51)&amp;"♦"&amp;T(UBBL!G51)&amp;"♦"&amp;T(UBBL!H51),"")</f>
        <v/>
      </c>
    </row>
    <row r="566" spans="11:12">
      <c r="K566" t="str">
        <f>IF(UBBL!F52="Not Comply",MAX($K$4:K565)+1,"")</f>
        <v/>
      </c>
      <c r="L566" t="str">
        <f>IF(UBBL!F52="Not Comply",T(UBBL!K52)&amp;"♦"&amp;T(UBBL!B52)&amp;"♦"&amp;T(UBBL!G52)&amp;"♦"&amp;T(UBBL!H52),"")</f>
        <v/>
      </c>
    </row>
    <row r="567" spans="11:12">
      <c r="K567" t="str">
        <f>IF(UBBL!F53="Not Comply",MAX($K$4:K566)+1,"")</f>
        <v/>
      </c>
      <c r="L567" t="str">
        <f>IF(UBBL!F53="Not Comply",T(UBBL!K53)&amp;"♦"&amp;T(UBBL!B53)&amp;"♦"&amp;T(UBBL!G53)&amp;"♦"&amp;T(UBBL!H53),"")</f>
        <v/>
      </c>
    </row>
    <row r="568" spans="11:12">
      <c r="K568" t="str">
        <f>IF(UBBL!F54="Not Comply",MAX($K$4:K567)+1,"")</f>
        <v/>
      </c>
      <c r="L568" t="str">
        <f>IF(UBBL!F54="Not Comply",T(UBBL!K54)&amp;"♦"&amp;T(UBBL!B54)&amp;"♦"&amp;T(UBBL!G54)&amp;"♦"&amp;T(UBBL!H54),"")</f>
        <v/>
      </c>
    </row>
    <row r="569" spans="11:12">
      <c r="K569" t="str">
        <f>IF(UBBL!F55="Not Comply",MAX($K$4:K568)+1,"")</f>
        <v/>
      </c>
      <c r="L569" t="str">
        <f>IF(UBBL!F55="Not Comply",T(UBBL!K55)&amp;"♦"&amp;T(UBBL!B55)&amp;"♦"&amp;T(UBBL!G55)&amp;"♦"&amp;T(UBBL!H55),"")</f>
        <v/>
      </c>
    </row>
    <row r="570" spans="11:12">
      <c r="K570" t="str">
        <f>IF(UBBL!F56="Not Comply",MAX($K$4:K569)+1,"")</f>
        <v/>
      </c>
      <c r="L570" t="str">
        <f>IF(UBBL!F56="Not Comply",T(UBBL!K56)&amp;"♦"&amp;T(UBBL!B56)&amp;"♦"&amp;T(UBBL!G56)&amp;"♦"&amp;T(UBBL!H56),"")</f>
        <v/>
      </c>
    </row>
    <row r="571" spans="11:12">
      <c r="K571" t="str">
        <f>IF(UBBL!F57="Not Comply",MAX($K$4:K570)+1,"")</f>
        <v/>
      </c>
      <c r="L571" t="str">
        <f>IF(UBBL!F57="Not Comply",T(UBBL!K57)&amp;"♦"&amp;T(UBBL!B57)&amp;"♦"&amp;T(UBBL!G57)&amp;"♦"&amp;T(UBBL!H57),"")</f>
        <v/>
      </c>
    </row>
    <row r="572" spans="11:12">
      <c r="K572" t="str">
        <f>IF(UBBL!F58="Not Comply",MAX($K$4:K571)+1,"")</f>
        <v/>
      </c>
      <c r="L572" t="str">
        <f>IF(UBBL!F58="Not Comply",T(UBBL!K58)&amp;"♦"&amp;T(UBBL!B58)&amp;"♦"&amp;T(UBBL!G58)&amp;"♦"&amp;T(UBBL!H58),"")</f>
        <v/>
      </c>
    </row>
    <row r="573" spans="11:12">
      <c r="K573" t="str">
        <f>IF(UBBL!F59="Not Comply",MAX($K$4:K572)+1,"")</f>
        <v/>
      </c>
      <c r="L573" t="str">
        <f>IF(UBBL!F59="Not Comply",T(UBBL!K59)&amp;"♦"&amp;T(UBBL!B59)&amp;"♦"&amp;T(UBBL!G59)&amp;"♦"&amp;T(UBBL!H59),"")</f>
        <v/>
      </c>
    </row>
    <row r="574" spans="11:12">
      <c r="K574" t="str">
        <f>IF(UBBL!F60="Not Comply",MAX($K$4:K573)+1,"")</f>
        <v/>
      </c>
      <c r="L574" t="str">
        <f>IF(UBBL!F60="Not Comply",T(UBBL!K60)&amp;"♦"&amp;T(UBBL!B60)&amp;"♦"&amp;T(UBBL!G60)&amp;"♦"&amp;T(UBBL!H60),"")</f>
        <v/>
      </c>
    </row>
    <row r="575" spans="11:12">
      <c r="K575" t="str">
        <f>IF(UBBL!F61="Not Comply",MAX($K$4:K574)+1,"")</f>
        <v/>
      </c>
      <c r="L575" t="str">
        <f>IF(UBBL!F61="Not Comply",T(UBBL!K61)&amp;"♦"&amp;T(UBBL!B61)&amp;"♦"&amp;T(UBBL!G61)&amp;"♦"&amp;T(UBBL!H61),"")</f>
        <v/>
      </c>
    </row>
    <row r="576" spans="11:12">
      <c r="K576" t="str">
        <f>IF(UBBL!F62="Not Comply",MAX($K$4:K575)+1,"")</f>
        <v/>
      </c>
      <c r="L576" t="str">
        <f>IF(UBBL!F62="Not Comply",T(UBBL!K62)&amp;"♦"&amp;T(UBBL!B62)&amp;"♦"&amp;T(UBBL!G62)&amp;"♦"&amp;T(UBBL!H62),"")</f>
        <v/>
      </c>
    </row>
    <row r="577" spans="11:12">
      <c r="K577" t="str">
        <f>IF(UBBL!F63="Not Comply",MAX($K$4:K576)+1,"")</f>
        <v/>
      </c>
      <c r="L577" t="str">
        <f>IF(UBBL!F63="Not Comply",T(UBBL!K63)&amp;"♦"&amp;T(UBBL!B63)&amp;"♦"&amp;T(UBBL!G63)&amp;"♦"&amp;T(UBBL!H63),"")</f>
        <v/>
      </c>
    </row>
    <row r="578" spans="11:12">
      <c r="K578" t="str">
        <f>IF(UBBL!F64="Not Comply",MAX($K$4:K577)+1,"")</f>
        <v/>
      </c>
      <c r="L578" t="str">
        <f>IF(UBBL!F64="Not Comply",T(UBBL!K64)&amp;"♦"&amp;T(UBBL!B64)&amp;"♦"&amp;T(UBBL!G64)&amp;"♦"&amp;T(UBBL!H64),"")</f>
        <v/>
      </c>
    </row>
    <row r="579" spans="11:12">
      <c r="K579" t="str">
        <f>IF(UBBL!F65="Not Comply",MAX($K$4:K578)+1,"")</f>
        <v/>
      </c>
      <c r="L579" t="str">
        <f>IF(UBBL!F65="Not Comply",T(UBBL!K65)&amp;"♦"&amp;T(UBBL!B65)&amp;"♦"&amp;T(UBBL!G65)&amp;"♦"&amp;T(UBBL!H65),"")</f>
        <v/>
      </c>
    </row>
    <row r="580" spans="11:12">
      <c r="K580" t="str">
        <f>IF(UBBL!F66="Not Comply",MAX($K$4:K579)+1,"")</f>
        <v/>
      </c>
      <c r="L580" t="str">
        <f>IF(UBBL!F66="Not Comply",T(UBBL!K66)&amp;"♦"&amp;T(UBBL!B66)&amp;"♦"&amp;T(UBBL!G66)&amp;"♦"&amp;T(UBBL!H66),"")</f>
        <v/>
      </c>
    </row>
    <row r="581" spans="11:12">
      <c r="K581" t="str">
        <f>IF(UBBL!F67="Not Comply",MAX($K$4:K580)+1,"")</f>
        <v/>
      </c>
      <c r="L581" t="str">
        <f>IF(UBBL!F67="Not Comply",T(UBBL!K67)&amp;"♦"&amp;T(UBBL!B67)&amp;"♦"&amp;T(UBBL!G67)&amp;"♦"&amp;T(UBBL!H67),"")</f>
        <v/>
      </c>
    </row>
    <row r="582" spans="11:12">
      <c r="K582" t="str">
        <f>IF(UBBL!F68="Not Comply",MAX($K$4:K581)+1,"")</f>
        <v/>
      </c>
      <c r="L582" t="str">
        <f>IF(UBBL!F68="Not Comply",T(UBBL!K68)&amp;"♦"&amp;T(UBBL!B68)&amp;"♦"&amp;T(UBBL!G68)&amp;"♦"&amp;T(UBBL!H68),"")</f>
        <v/>
      </c>
    </row>
    <row r="583" spans="11:12">
      <c r="K583" t="str">
        <f>IF(UBBL!F69="Not Comply",MAX($K$4:K582)+1,"")</f>
        <v/>
      </c>
      <c r="L583" t="str">
        <f>IF(UBBL!F69="Not Comply",T(UBBL!K69)&amp;"♦"&amp;T(UBBL!B69)&amp;"♦"&amp;T(UBBL!G69)&amp;"♦"&amp;T(UBBL!H69),"")</f>
        <v/>
      </c>
    </row>
    <row r="584" spans="11:12">
      <c r="K584" t="str">
        <f>IF(UBBL!F70="Not Comply",MAX($K$4:K583)+1,"")</f>
        <v/>
      </c>
      <c r="L584" t="str">
        <f>IF(UBBL!F70="Not Comply",T(UBBL!K70)&amp;"♦"&amp;T(UBBL!B70)&amp;"♦"&amp;T(UBBL!G70)&amp;"♦"&amp;T(UBBL!H70),"")</f>
        <v/>
      </c>
    </row>
    <row r="585" spans="11:12">
      <c r="K585" t="str">
        <f>IF(UBBL!F71="Not Comply",MAX($K$4:K584)+1,"")</f>
        <v/>
      </c>
      <c r="L585" t="str">
        <f>IF(UBBL!F71="Not Comply",T(UBBL!K71)&amp;"♦"&amp;T(UBBL!B71)&amp;"♦"&amp;T(UBBL!G71)&amp;"♦"&amp;T(UBBL!H71),"")</f>
        <v/>
      </c>
    </row>
    <row r="586" spans="11:12">
      <c r="K586" t="str">
        <f>IF(UBBL!F72="Not Comply",MAX($K$4:K585)+1,"")</f>
        <v/>
      </c>
      <c r="L586" t="str">
        <f>IF(UBBL!F72="Not Comply",T(UBBL!K72)&amp;"♦"&amp;T(UBBL!B72)&amp;"♦"&amp;T(UBBL!G72)&amp;"♦"&amp;T(UBBL!H72),"")</f>
        <v/>
      </c>
    </row>
    <row r="587" spans="11:12">
      <c r="K587" t="str">
        <f>IF(UBBL!F73="Not Comply",MAX($K$4:K586)+1,"")</f>
        <v/>
      </c>
      <c r="L587" t="str">
        <f>IF(UBBL!F73="Not Comply",T(UBBL!K73)&amp;"♦"&amp;T(UBBL!B73)&amp;"♦"&amp;T(UBBL!G73)&amp;"♦"&amp;T(UBBL!H73),"")</f>
        <v/>
      </c>
    </row>
    <row r="588" spans="11:12">
      <c r="K588" t="str">
        <f>IF(UBBL!F74="Not Comply",MAX($K$4:K587)+1,"")</f>
        <v/>
      </c>
      <c r="L588" t="str">
        <f>IF(UBBL!F74="Not Comply",T(UBBL!K74)&amp;"♦"&amp;T(UBBL!B74)&amp;"♦"&amp;T(UBBL!G74)&amp;"♦"&amp;T(UBBL!H74),"")</f>
        <v/>
      </c>
    </row>
    <row r="589" spans="11:12">
      <c r="K589" t="str">
        <f>IF(UBBL!F75="Not Comply",MAX($K$4:K588)+1,"")</f>
        <v/>
      </c>
      <c r="L589" t="str">
        <f>IF(UBBL!F75="Not Comply",T(UBBL!K75)&amp;"♦"&amp;T(UBBL!B75)&amp;"♦"&amp;T(UBBL!G75)&amp;"♦"&amp;T(UBBL!H75),"")</f>
        <v/>
      </c>
    </row>
    <row r="590" spans="11:12">
      <c r="K590" t="str">
        <f>IF(UBBL!F76="Not Comply",MAX($K$4:K589)+1,"")</f>
        <v/>
      </c>
      <c r="L590" t="str">
        <f>IF(UBBL!F76="Not Comply",T(UBBL!K76)&amp;"♦"&amp;T(UBBL!B76)&amp;"♦"&amp;T(UBBL!G76)&amp;"♦"&amp;T(UBBL!H76),"")</f>
        <v/>
      </c>
    </row>
    <row r="591" spans="11:12">
      <c r="K591" t="str">
        <f>IF(UBBL!F77="Not Comply",MAX($K$4:K590)+1,"")</f>
        <v/>
      </c>
      <c r="L591" t="str">
        <f>IF(UBBL!F77="Not Comply",T(UBBL!K77)&amp;"♦"&amp;T(UBBL!B77)&amp;"♦"&amp;T(UBBL!G77)&amp;"♦"&amp;T(UBBL!H77),"")</f>
        <v/>
      </c>
    </row>
    <row r="592" spans="11:12">
      <c r="K592" t="str">
        <f>IF(UBBL!F78="Not Comply",MAX($K$4:K591)+1,"")</f>
        <v/>
      </c>
      <c r="L592" t="str">
        <f>IF(UBBL!F78="Not Comply",T(UBBL!K78)&amp;"♦"&amp;T(UBBL!B78)&amp;"♦"&amp;T(UBBL!G78)&amp;"♦"&amp;T(UBBL!H78),"")</f>
        <v/>
      </c>
    </row>
    <row r="593" spans="11:12">
      <c r="K593" t="str">
        <f>IF(UBBL!F79="Not Comply",MAX($K$4:K592)+1,"")</f>
        <v/>
      </c>
      <c r="L593" t="str">
        <f>IF(UBBL!F79="Not Comply",T(UBBL!K79)&amp;"♦"&amp;T(UBBL!B79)&amp;"♦"&amp;T(UBBL!G79)&amp;"♦"&amp;T(UBBL!H79),"")</f>
        <v/>
      </c>
    </row>
    <row r="594" spans="11:12">
      <c r="K594" t="str">
        <f>IF(UBBL!F80="Not Comply",MAX($K$4:K593)+1,"")</f>
        <v/>
      </c>
      <c r="L594" t="str">
        <f>IF(UBBL!F80="Not Comply",T(UBBL!K80)&amp;"♦"&amp;T(UBBL!B80)&amp;"♦"&amp;T(UBBL!G80)&amp;"♦"&amp;T(UBBL!H80),"")</f>
        <v/>
      </c>
    </row>
    <row r="595" spans="11:12">
      <c r="K595" t="str">
        <f>IF(UBBL!F81="Not Comply",MAX($K$4:K594)+1,"")</f>
        <v/>
      </c>
      <c r="L595" t="str">
        <f>IF(UBBL!F81="Not Comply",T(UBBL!K81)&amp;"♦"&amp;T(UBBL!B81)&amp;"♦"&amp;T(UBBL!G81)&amp;"♦"&amp;T(UBBL!H81),"")</f>
        <v/>
      </c>
    </row>
    <row r="596" spans="11:12">
      <c r="K596" t="str">
        <f>IF(UBBL!F82="Not Comply",MAX($K$4:K595)+1,"")</f>
        <v/>
      </c>
      <c r="L596" t="str">
        <f>IF(UBBL!F82="Not Comply",T(UBBL!K82)&amp;"♦"&amp;T(UBBL!B82)&amp;"♦"&amp;T(UBBL!G82)&amp;"♦"&amp;T(UBBL!H82),"")</f>
        <v/>
      </c>
    </row>
    <row r="597" spans="11:12">
      <c r="K597" t="str">
        <f>IF(UBBL!F83="Not Comply",MAX($K$4:K596)+1,"")</f>
        <v/>
      </c>
      <c r="L597" t="str">
        <f>IF(UBBL!F83="Not Comply",T(UBBL!K83)&amp;"♦"&amp;T(UBBL!B83)&amp;"♦"&amp;T(UBBL!G83)&amp;"♦"&amp;T(UBBL!H83),"")</f>
        <v/>
      </c>
    </row>
    <row r="598" spans="11:12">
      <c r="K598" t="str">
        <f>IF(UBBL!F84="Not Comply",MAX($K$4:K597)+1,"")</f>
        <v/>
      </c>
      <c r="L598" t="str">
        <f>IF(UBBL!F84="Not Comply",T(UBBL!K84)&amp;"♦"&amp;T(UBBL!B84)&amp;"♦"&amp;T(UBBL!G84)&amp;"♦"&amp;T(UBBL!H84),"")</f>
        <v/>
      </c>
    </row>
    <row r="599" spans="11:12">
      <c r="K599" t="str">
        <f>IF(UBBL!F85="Not Comply",MAX($K$4:K598)+1,"")</f>
        <v/>
      </c>
      <c r="L599" t="str">
        <f>IF(UBBL!F85="Not Comply",T(UBBL!K85)&amp;"♦"&amp;T(UBBL!B85)&amp;"♦"&amp;T(UBBL!G85)&amp;"♦"&amp;T(UBBL!H85),"")</f>
        <v/>
      </c>
    </row>
    <row r="600" spans="11:12">
      <c r="K600" t="str">
        <f>IF('sewerage system'!F4="Not Comply",MAX($K$4:K599)+1,"")</f>
        <v/>
      </c>
      <c r="L600" t="str">
        <f>IF('sewerage system'!F4="Not Comply",T('sewerage system'!K4)&amp;"♦"&amp;T('sewerage system'!B4)&amp;"♦"&amp;T('sewerage system'!G4)&amp;"♦"&amp;T('sewerage system'!H4),"")</f>
        <v/>
      </c>
    </row>
    <row r="601" spans="11:12">
      <c r="K601" t="str">
        <f>IF('sewerage system'!F5="Not Comply",MAX($K$4:K600)+1,"")</f>
        <v/>
      </c>
      <c r="L601" t="str">
        <f>IF('sewerage system'!F5="Not Comply",T('sewerage system'!K5)&amp;"♦"&amp;T('sewerage system'!B5)&amp;"♦"&amp;T('sewerage system'!G5)&amp;"♦"&amp;T('sewerage system'!H5),"")</f>
        <v/>
      </c>
    </row>
    <row r="602" spans="11:12">
      <c r="K602" t="str">
        <f>IF('sewerage system'!F6="Not Comply",MAX($K$4:K601)+1,"")</f>
        <v/>
      </c>
      <c r="L602" t="str">
        <f>IF('sewerage system'!F6="Not Comply",T('sewerage system'!K6)&amp;"♦"&amp;T('sewerage system'!B6)&amp;"♦"&amp;T('sewerage system'!G6)&amp;"♦"&amp;T('sewerage system'!H6),"")</f>
        <v/>
      </c>
    </row>
    <row r="603" spans="11:12">
      <c r="K603" t="str">
        <f>IF('sewerage system'!F7="Not Comply",MAX($K$4:K602)+1,"")</f>
        <v/>
      </c>
      <c r="L603" t="str">
        <f>IF('sewerage system'!F7="Not Comply",T('sewerage system'!K7)&amp;"♦"&amp;T('sewerage system'!B7)&amp;"♦"&amp;T('sewerage system'!G7)&amp;"♦"&amp;T('sewerage system'!H7),"")</f>
        <v/>
      </c>
    </row>
    <row r="604" spans="11:12">
      <c r="K604" t="str">
        <f>IF('sewerage system'!F8="Not Comply",MAX($K$4:K603)+1,"")</f>
        <v/>
      </c>
      <c r="L604" t="str">
        <f>IF('sewerage system'!F8="Not Comply",T('sewerage system'!K8)&amp;"♦"&amp;T('sewerage system'!B8)&amp;"♦"&amp;T('sewerage system'!G8)&amp;"♦"&amp;T('sewerage system'!H8),"")</f>
        <v/>
      </c>
    </row>
    <row r="605" spans="11:12">
      <c r="K605" t="str">
        <f>IF('sewerage system'!F9="Not Comply",MAX($K$4:K604)+1,"")</f>
        <v/>
      </c>
      <c r="L605" t="str">
        <f>IF('sewerage system'!F9="Not Comply",T('sewerage system'!K9)&amp;"♦"&amp;T('sewerage system'!B9)&amp;"♦"&amp;T('sewerage system'!G9)&amp;"♦"&amp;T('sewerage system'!H9),"")</f>
        <v/>
      </c>
    </row>
    <row r="606" spans="11:12">
      <c r="K606" t="str">
        <f>IF('sewerage system'!F10="Not Comply",MAX($K$4:K605)+1,"")</f>
        <v/>
      </c>
      <c r="L606" t="str">
        <f>IF('sewerage system'!F10="Not Comply",T('sewerage system'!K10)&amp;"♦"&amp;T('sewerage system'!B10)&amp;"♦"&amp;T('sewerage system'!G10)&amp;"♦"&amp;T('sewerage system'!H10),"")</f>
        <v/>
      </c>
    </row>
    <row r="607" spans="11:12">
      <c r="K607" t="str">
        <f>IF('sewerage system'!F11="Not Comply",MAX($K$4:K606)+1,"")</f>
        <v/>
      </c>
      <c r="L607" t="str">
        <f>IF('sewerage system'!F11="Not Comply",T('sewerage system'!K11)&amp;"♦"&amp;T('sewerage system'!B11)&amp;"♦"&amp;T('sewerage system'!G11)&amp;"♦"&amp;T('sewerage system'!H11),"")</f>
        <v/>
      </c>
    </row>
    <row r="608" spans="11:12">
      <c r="K608" t="str">
        <f>IF('sewerage system'!F12="Not Comply",MAX($K$4:K607)+1,"")</f>
        <v/>
      </c>
      <c r="L608" t="str">
        <f>IF('sewerage system'!F12="Not Comply",T('sewerage system'!K12)&amp;"♦"&amp;T('sewerage system'!B12)&amp;"♦"&amp;T('sewerage system'!G12)&amp;"♦"&amp;T('sewerage system'!H12),"")</f>
        <v/>
      </c>
    </row>
    <row r="609" spans="11:12">
      <c r="K609" t="str">
        <f>IF('sewerage system'!F13="Not Comply",MAX($K$4:K608)+1,"")</f>
        <v/>
      </c>
      <c r="L609" t="str">
        <f>IF('sewerage system'!F13="Not Comply",T('sewerage system'!K13)&amp;"♦"&amp;T('sewerage system'!B13)&amp;"♦"&amp;T('sewerage system'!G13)&amp;"♦"&amp;T('sewerage system'!H13),"")</f>
        <v/>
      </c>
    </row>
    <row r="610" spans="11:12">
      <c r="K610" t="str">
        <f>IF('sewerage system'!F14="Not Comply",MAX($K$4:K609)+1,"")</f>
        <v/>
      </c>
      <c r="L610" t="str">
        <f>IF('sewerage system'!F14="Not Comply",T('sewerage system'!K14)&amp;"♦"&amp;T('sewerage system'!B14)&amp;"♦"&amp;T('sewerage system'!G14)&amp;"♦"&amp;T('sewerage system'!H14),"")</f>
        <v/>
      </c>
    </row>
    <row r="611" spans="11:12">
      <c r="K611" t="str">
        <f>IF('sewerage system'!F15="Not Comply",MAX($K$4:K610)+1,"")</f>
        <v/>
      </c>
      <c r="L611" t="str">
        <f>IF('sewerage system'!F15="Not Comply",T('sewerage system'!K15)&amp;"♦"&amp;T('sewerage system'!B15)&amp;"♦"&amp;T('sewerage system'!G15)&amp;"♦"&amp;T('sewerage system'!H15),"")</f>
        <v/>
      </c>
    </row>
    <row r="612" spans="11:12">
      <c r="K612" t="str">
        <f>IF('sewerage system'!F16="Not Comply",MAX($K$4:K611)+1,"")</f>
        <v/>
      </c>
      <c r="L612" t="str">
        <f>IF('sewerage system'!F16="Not Comply",T('sewerage system'!K16)&amp;"♦"&amp;T('sewerage system'!B16)&amp;"♦"&amp;T('sewerage system'!G16)&amp;"♦"&amp;T('sewerage system'!H16),"")</f>
        <v/>
      </c>
    </row>
    <row r="613" spans="11:12">
      <c r="K613" t="str">
        <f>IF('sewerage system'!F17="Not Comply",MAX($K$4:K612)+1,"")</f>
        <v/>
      </c>
      <c r="L613" t="str">
        <f>IF('sewerage system'!F17="Not Comply",T('sewerage system'!K17)&amp;"♦"&amp;T('sewerage system'!B17)&amp;"♦"&amp;T('sewerage system'!G17)&amp;"♦"&amp;T('sewerage system'!H17),"")</f>
        <v/>
      </c>
    </row>
    <row r="614" spans="11:12">
      <c r="K614" t="str">
        <f>IF('sewerage system'!F18="Not Comply",MAX($K$4:K613)+1,"")</f>
        <v/>
      </c>
      <c r="L614" t="str">
        <f>IF('sewerage system'!F18="Not Comply",T('sewerage system'!K18)&amp;"♦"&amp;T('sewerage system'!B18)&amp;"♦"&amp;T('sewerage system'!G18)&amp;"♦"&amp;T('sewerage system'!H18),"")</f>
        <v/>
      </c>
    </row>
    <row r="615" spans="11:12">
      <c r="K615" t="str">
        <f>IF('sewerage system'!F19="Not Comply",MAX($K$4:K614)+1,"")</f>
        <v/>
      </c>
      <c r="L615" t="str">
        <f>IF('sewerage system'!F19="Not Comply",T('sewerage system'!K19)&amp;"♦"&amp;T('sewerage system'!B19)&amp;"♦"&amp;T('sewerage system'!G19)&amp;"♦"&amp;T('sewerage system'!H19),"")</f>
        <v/>
      </c>
    </row>
    <row r="616" spans="11:12">
      <c r="K616" t="str">
        <f>IF('sewerage system'!F20="Not Comply",MAX($K$4:K615)+1,"")</f>
        <v/>
      </c>
      <c r="L616" t="str">
        <f>IF('sewerage system'!F20="Not Comply",T('sewerage system'!K20)&amp;"♦"&amp;T('sewerage system'!B20)&amp;"♦"&amp;T('sewerage system'!G20)&amp;"♦"&amp;T('sewerage system'!H20),"")</f>
        <v/>
      </c>
    </row>
    <row r="617" spans="11:12">
      <c r="K617" t="str">
        <f>IF('sewerage system'!F21="Not Comply",MAX($K$4:K616)+1,"")</f>
        <v/>
      </c>
      <c r="L617" t="str">
        <f>IF('sewerage system'!F21="Not Comply",T('sewerage system'!K21)&amp;"♦"&amp;T('sewerage system'!B21)&amp;"♦"&amp;T('sewerage system'!G21)&amp;"♦"&amp;T('sewerage system'!H21),"")</f>
        <v/>
      </c>
    </row>
    <row r="618" spans="11:12">
      <c r="K618" t="str">
        <f>IF('sewerage system'!F22="Not Comply",MAX($K$4:K617)+1,"")</f>
        <v/>
      </c>
      <c r="L618" t="str">
        <f>IF('sewerage system'!F22="Not Comply",T('sewerage system'!K22)&amp;"♦"&amp;T('sewerage system'!B22)&amp;"♦"&amp;T('sewerage system'!G22)&amp;"♦"&amp;T('sewerage system'!H22),"")</f>
        <v/>
      </c>
    </row>
    <row r="619" spans="11:12">
      <c r="K619" t="str">
        <f>IF('sewerage system'!F23="Not Comply",MAX($K$4:K618)+1,"")</f>
        <v/>
      </c>
      <c r="L619" t="str">
        <f>IF('sewerage system'!F23="Not Comply",T('sewerage system'!K23)&amp;"♦"&amp;T('sewerage system'!B23)&amp;"♦"&amp;T('sewerage system'!G23)&amp;"♦"&amp;T('sewerage system'!H23),"")</f>
        <v/>
      </c>
    </row>
    <row r="620" spans="11:12">
      <c r="K620" t="str">
        <f>IF('sewerage system'!F24="Not Comply",MAX($K$4:K619)+1,"")</f>
        <v/>
      </c>
      <c r="L620" t="str">
        <f>IF('sewerage system'!F24="Not Comply",T('sewerage system'!K24)&amp;"♦"&amp;T('sewerage system'!B24)&amp;"♦"&amp;T('sewerage system'!G24)&amp;"♦"&amp;T('sewerage system'!H24),"")</f>
        <v/>
      </c>
    </row>
    <row r="621" spans="11:12">
      <c r="K621" t="str">
        <f>IF('sewerage system'!F25="Not Comply",MAX($K$4:K620)+1,"")</f>
        <v/>
      </c>
      <c r="L621" t="str">
        <f>IF('sewerage system'!F25="Not Comply",T('sewerage system'!K25)&amp;"♦"&amp;T('sewerage system'!B25)&amp;"♦"&amp;T('sewerage system'!G25)&amp;"♦"&amp;T('sewerage system'!H25),"")</f>
        <v/>
      </c>
    </row>
    <row r="622" spans="11:12">
      <c r="K622" t="str">
        <f>IF('sewerage system'!F26="Not Comply",MAX($K$4:K621)+1,"")</f>
        <v/>
      </c>
      <c r="L622" t="str">
        <f>IF('sewerage system'!F26="Not Comply",T('sewerage system'!K26)&amp;"♦"&amp;T('sewerage system'!B26)&amp;"♦"&amp;T('sewerage system'!G26)&amp;"♦"&amp;T('sewerage system'!H26),"")</f>
        <v/>
      </c>
    </row>
    <row r="623" spans="11:12">
      <c r="K623" t="str">
        <f>IF('sewerage system'!F27="Not Comply",MAX($K$4:K622)+1,"")</f>
        <v/>
      </c>
      <c r="L623" t="str">
        <f>IF('sewerage system'!F27="Not Comply",T('sewerage system'!K27)&amp;"♦"&amp;T('sewerage system'!B27)&amp;"♦"&amp;T('sewerage system'!G27)&amp;"♦"&amp;T('sewerage system'!H27),"")</f>
        <v/>
      </c>
    </row>
    <row r="624" spans="11:12">
      <c r="K624" t="str">
        <f>IF('sewerage system'!F28="Not Comply",MAX($K$4:K623)+1,"")</f>
        <v/>
      </c>
      <c r="L624" t="str">
        <f>IF('sewerage system'!F28="Not Comply",T('sewerage system'!K28)&amp;"♦"&amp;T('sewerage system'!B28)&amp;"♦"&amp;T('sewerage system'!G28)&amp;"♦"&amp;T('sewerage system'!H28),"")</f>
        <v/>
      </c>
    </row>
    <row r="625" spans="11:12">
      <c r="K625" t="str">
        <f>IF('sewerage system'!F29="Not Comply",MAX($K$4:K624)+1,"")</f>
        <v/>
      </c>
      <c r="L625" t="str">
        <f>IF('sewerage system'!F29="Not Comply",T('sewerage system'!K29)&amp;"♦"&amp;T('sewerage system'!B29)&amp;"♦"&amp;T('sewerage system'!G29)&amp;"♦"&amp;T('sewerage system'!H29),"")</f>
        <v/>
      </c>
    </row>
    <row r="626" spans="11:12">
      <c r="K626" t="str">
        <f>IF('sewerage system'!F30="Not Comply",MAX($K$4:K625)+1,"")</f>
        <v/>
      </c>
      <c r="L626" t="str">
        <f>IF('sewerage system'!F30="Not Comply",T('sewerage system'!K30)&amp;"♦"&amp;T('sewerage system'!B30)&amp;"♦"&amp;T('sewerage system'!G30)&amp;"♦"&amp;T('sewerage system'!H30),"")</f>
        <v/>
      </c>
    </row>
    <row r="627" spans="11:12">
      <c r="K627" t="str">
        <f>IF('sewerage system'!F31="Not Comply",MAX($K$4:K626)+1,"")</f>
        <v/>
      </c>
      <c r="L627" t="str">
        <f>IF('sewerage system'!F31="Not Comply",T('sewerage system'!K31)&amp;"♦"&amp;T('sewerage system'!B31)&amp;"♦"&amp;T('sewerage system'!G31)&amp;"♦"&amp;T('sewerage system'!H31),"")</f>
        <v/>
      </c>
    </row>
    <row r="628" spans="11:12">
      <c r="K628" t="str">
        <f>IF('sewerage system'!F32="Not Comply",MAX($K$4:K627)+1,"")</f>
        <v/>
      </c>
      <c r="L628" t="str">
        <f>IF('sewerage system'!F32="Not Comply",T('sewerage system'!K32)&amp;"♦"&amp;T('sewerage system'!B32)&amp;"♦"&amp;T('sewerage system'!G32)&amp;"♦"&amp;T('sewerage system'!H32),"")</f>
        <v/>
      </c>
    </row>
    <row r="629" spans="11:12">
      <c r="K629" t="str">
        <f>IF('sewerage system'!F33="Not Comply",MAX($K$4:K628)+1,"")</f>
        <v/>
      </c>
      <c r="L629" t="str">
        <f>IF('sewerage system'!F33="Not Comply",T('sewerage system'!K33)&amp;"♦"&amp;T('sewerage system'!B33)&amp;"♦"&amp;T('sewerage system'!G33)&amp;"♦"&amp;T('sewerage system'!H33),"")</f>
        <v/>
      </c>
    </row>
    <row r="630" spans="11:12">
      <c r="K630" t="str">
        <f>IF('sewerage system'!F34="Not Comply",MAX($K$4:K629)+1,"")</f>
        <v/>
      </c>
      <c r="L630" t="str">
        <f>IF('sewerage system'!F34="Not Comply",T('sewerage system'!K34)&amp;"♦"&amp;T('sewerage system'!B34)&amp;"♦"&amp;T('sewerage system'!G34)&amp;"♦"&amp;T('sewerage system'!H34),"")</f>
        <v/>
      </c>
    </row>
    <row r="631" spans="11:12">
      <c r="K631" t="str">
        <f>IF('ICOP Transport'!F4="Not Comply",MAX($K$4:K630)+1,"")</f>
        <v/>
      </c>
      <c r="L631" t="str">
        <f>IF('ICOP Transport'!F4="Not Comply",T('ICOP Transport'!K4)&amp;"♦"&amp;T('ICOP Transport'!B4)&amp;"♦"&amp;T('ICOP Transport'!G4)&amp;"♦"&amp;T('ICOP Transport'!H4),"")</f>
        <v/>
      </c>
    </row>
    <row r="632" spans="11:12">
      <c r="K632" t="str">
        <f>IF('ICOP Transport'!F5="Not Comply",MAX($K$4:K631)+1,"")</f>
        <v/>
      </c>
      <c r="L632" t="str">
        <f>IF('ICOP Transport'!F5="Not Comply",T('ICOP Transport'!K5)&amp;"♦"&amp;T('ICOP Transport'!B5)&amp;"♦"&amp;T('ICOP Transport'!G5)&amp;"♦"&amp;T('ICOP Transport'!H5),"")</f>
        <v/>
      </c>
    </row>
    <row r="633" spans="11:12">
      <c r="K633" t="str">
        <f>IF('ICOP Transport'!F6="Not Comply",MAX($K$4:K632)+1,"")</f>
        <v/>
      </c>
      <c r="L633" t="str">
        <f>IF('ICOP Transport'!F6="Not Comply",T('ICOP Transport'!K6)&amp;"♦"&amp;T('ICOP Transport'!B6)&amp;"♦"&amp;T('ICOP Transport'!G6)&amp;"♦"&amp;T('ICOP Transport'!H6),"")</f>
        <v/>
      </c>
    </row>
    <row r="634" spans="11:12">
      <c r="K634" t="str">
        <f>IF('ICOP Transport'!F7="Not Comply",MAX($K$4:K633)+1,"")</f>
        <v/>
      </c>
      <c r="L634" t="str">
        <f>IF('ICOP Transport'!F7="Not Comply",T('ICOP Transport'!K7)&amp;"♦"&amp;T('ICOP Transport'!B7)&amp;"♦"&amp;T('ICOP Transport'!G7)&amp;"♦"&amp;T('ICOP Transport'!H7),"")</f>
        <v/>
      </c>
    </row>
    <row r="635" spans="11:12">
      <c r="K635" t="str">
        <f>IF('ICOP Transport'!F8="Not Comply",MAX($K$4:K634)+1,"")</f>
        <v/>
      </c>
      <c r="L635" t="str">
        <f>IF('ICOP Transport'!F8="Not Comply",T('ICOP Transport'!K8)&amp;"♦"&amp;T('ICOP Transport'!B8)&amp;"♦"&amp;T('ICOP Transport'!G8)&amp;"♦"&amp;T('ICOP Transport'!H8),"")</f>
        <v/>
      </c>
    </row>
    <row r="636" spans="11:12">
      <c r="K636" t="str">
        <f>IF('ICOP Transport'!F9="Not Comply",MAX($K$4:K635)+1,"")</f>
        <v/>
      </c>
      <c r="L636" t="str">
        <f>IF('ICOP Transport'!F9="Not Comply",T('ICOP Transport'!K9)&amp;"♦"&amp;T('ICOP Transport'!B9)&amp;"♦"&amp;T('ICOP Transport'!G9)&amp;"♦"&amp;T('ICOP Transport'!H9),"")</f>
        <v/>
      </c>
    </row>
    <row r="637" spans="11:12">
      <c r="K637" t="str">
        <f>IF('ICOP Transport'!F10="Not Comply",MAX($K$4:K636)+1,"")</f>
        <v/>
      </c>
      <c r="L637" t="str">
        <f>IF('ICOP Transport'!F10="Not Comply",T('ICOP Transport'!K10)&amp;"♦"&amp;T('ICOP Transport'!B10)&amp;"♦"&amp;T('ICOP Transport'!G10)&amp;"♦"&amp;T('ICOP Transport'!H10),"")</f>
        <v/>
      </c>
    </row>
    <row r="638" spans="11:12">
      <c r="K638" t="str">
        <f>IF('ICOP Transport'!F11="Not Comply",MAX($K$4:K637)+1,"")</f>
        <v/>
      </c>
      <c r="L638" t="str">
        <f>IF('ICOP Transport'!F11="Not Comply",T('ICOP Transport'!K11)&amp;"♦"&amp;T('ICOP Transport'!B11)&amp;"♦"&amp;T('ICOP Transport'!G11)&amp;"♦"&amp;T('ICOP Transport'!H11),"")</f>
        <v/>
      </c>
    </row>
    <row r="639" spans="11:12">
      <c r="K639" t="str">
        <f>IF('ICOP Transport'!F12="Not Comply",MAX($K$4:K638)+1,"")</f>
        <v/>
      </c>
      <c r="L639" t="str">
        <f>IF('ICOP Transport'!F12="Not Comply",T('ICOP Transport'!K12)&amp;"♦"&amp;T('ICOP Transport'!B12)&amp;"♦"&amp;T('ICOP Transport'!G12)&amp;"♦"&amp;T('ICOP Transport'!H12),"")</f>
        <v/>
      </c>
    </row>
    <row r="640" spans="11:12">
      <c r="K640" t="str">
        <f>IF('ICOP Transport'!F13="Not Comply",MAX($K$4:K639)+1,"")</f>
        <v/>
      </c>
      <c r="L640" t="str">
        <f>IF('ICOP Transport'!F13="Not Comply",T('ICOP Transport'!K13)&amp;"♦"&amp;T('ICOP Transport'!B13)&amp;"♦"&amp;T('ICOP Transport'!G13)&amp;"♦"&amp;T('ICOP Transport'!H13),"")</f>
        <v/>
      </c>
    </row>
    <row r="641" spans="11:12">
      <c r="K641" t="str">
        <f>IF('ICOP Transport'!F14="Not Comply",MAX($K$4:K640)+1,"")</f>
        <v/>
      </c>
      <c r="L641" t="str">
        <f>IF('ICOP Transport'!F14="Not Comply",T('ICOP Transport'!K14)&amp;"♦"&amp;T('ICOP Transport'!B14)&amp;"♦"&amp;T('ICOP Transport'!G14)&amp;"♦"&amp;T('ICOP Transport'!H14),"")</f>
        <v/>
      </c>
    </row>
    <row r="642" spans="11:12">
      <c r="K642" t="str">
        <f>IF('ICOP Transport'!F15="Not Comply",MAX($K$4:K641)+1,"")</f>
        <v/>
      </c>
      <c r="L642" t="str">
        <f>IF('ICOP Transport'!F15="Not Comply",T('ICOP Transport'!K15)&amp;"♦"&amp;T('ICOP Transport'!B15)&amp;"♦"&amp;T('ICOP Transport'!G15)&amp;"♦"&amp;T('ICOP Transport'!H15),"")</f>
        <v/>
      </c>
    </row>
    <row r="643" spans="11:12">
      <c r="K643" t="str">
        <f>IF('ICOP Transport'!F16="Not Comply",MAX($K$4:K642)+1,"")</f>
        <v/>
      </c>
      <c r="L643" t="str">
        <f>IF('ICOP Transport'!F16="Not Comply",T('ICOP Transport'!K16)&amp;"♦"&amp;T('ICOP Transport'!B16)&amp;"♦"&amp;T('ICOP Transport'!G16)&amp;"♦"&amp;T('ICOP Transport'!H16),"")</f>
        <v/>
      </c>
    </row>
    <row r="644" spans="11:12">
      <c r="K644" t="str">
        <f>IF('ICOP Transport'!F17="Not Comply",MAX($K$4:K643)+1,"")</f>
        <v/>
      </c>
      <c r="L644" t="str">
        <f>IF('ICOP Transport'!F17="Not Comply",T('ICOP Transport'!K17)&amp;"♦"&amp;T('ICOP Transport'!B17)&amp;"♦"&amp;T('ICOP Transport'!G17)&amp;"♦"&amp;T('ICOP Transport'!H17),"")</f>
        <v/>
      </c>
    </row>
    <row r="645" spans="11:12">
      <c r="K645" t="str">
        <f>IF('ICOP Transport'!F18="Not Comply",MAX($K$4:K644)+1,"")</f>
        <v/>
      </c>
      <c r="L645" t="str">
        <f>IF('ICOP Transport'!F18="Not Comply",T('ICOP Transport'!K18)&amp;"♦"&amp;T('ICOP Transport'!B18)&amp;"♦"&amp;T('ICOP Transport'!G18)&amp;"♦"&amp;T('ICOP Transport'!H18),"")</f>
        <v/>
      </c>
    </row>
    <row r="646" spans="11:12">
      <c r="K646" t="str">
        <f>IF('ICOP Transport'!F19="Not Comply",MAX($K$4:K645)+1,"")</f>
        <v/>
      </c>
      <c r="L646" t="str">
        <f>IF('ICOP Transport'!F19="Not Comply",T('ICOP Transport'!K19)&amp;"♦"&amp;T('ICOP Transport'!B19)&amp;"♦"&amp;T('ICOP Transport'!G19)&amp;"♦"&amp;T('ICOP Transport'!H19),"")</f>
        <v/>
      </c>
    </row>
    <row r="647" spans="11:12">
      <c r="K647" t="str">
        <f>IF('ICOP Transport'!F20="Not Comply",MAX($K$4:K646)+1,"")</f>
        <v/>
      </c>
      <c r="L647" t="str">
        <f>IF('ICOP Transport'!F20="Not Comply",T('ICOP Transport'!K20)&amp;"♦"&amp;T('ICOP Transport'!B20)&amp;"♦"&amp;T('ICOP Transport'!G20)&amp;"♦"&amp;T('ICOP Transport'!H20),"")</f>
        <v/>
      </c>
    </row>
    <row r="648" spans="11:12">
      <c r="K648" t="str">
        <f>IF('ICOP Transport'!F21="Not Comply",MAX($K$4:K647)+1,"")</f>
        <v/>
      </c>
      <c r="L648" t="str">
        <f>IF('ICOP Transport'!F21="Not Comply",T('ICOP Transport'!K21)&amp;"♦"&amp;T('ICOP Transport'!B21)&amp;"♦"&amp;T('ICOP Transport'!G21)&amp;"♦"&amp;T('ICOP Transport'!H21),"")</f>
        <v/>
      </c>
    </row>
    <row r="649" spans="11:12">
      <c r="K649" t="str">
        <f>IF('ICOP Transport'!F22="Not Comply",MAX($K$4:K648)+1,"")</f>
        <v/>
      </c>
      <c r="L649" t="str">
        <f>IF('ICOP Transport'!F22="Not Comply",T('ICOP Transport'!K22)&amp;"♦"&amp;T('ICOP Transport'!B22)&amp;"♦"&amp;T('ICOP Transport'!G22)&amp;"♦"&amp;T('ICOP Transport'!H22),"")</f>
        <v/>
      </c>
    </row>
    <row r="650" spans="11:12">
      <c r="K650" t="str">
        <f>IF('ICOP Transport'!F23="Not Comply",MAX($K$4:K649)+1,"")</f>
        <v/>
      </c>
      <c r="L650" t="str">
        <f>IF('ICOP Transport'!F23="Not Comply",T('ICOP Transport'!K23)&amp;"♦"&amp;T('ICOP Transport'!B23)&amp;"♦"&amp;T('ICOP Transport'!G23)&amp;"♦"&amp;T('ICOP Transport'!H23),"")</f>
        <v/>
      </c>
    </row>
    <row r="651" spans="11:12">
      <c r="K651" t="str">
        <f>IF('ICOP Transport'!F24="Not Comply",MAX($K$4:K650)+1,"")</f>
        <v/>
      </c>
      <c r="L651" t="str">
        <f>IF('ICOP Transport'!F24="Not Comply",T('ICOP Transport'!K24)&amp;"♦"&amp;T('ICOP Transport'!B24)&amp;"♦"&amp;T('ICOP Transport'!G24)&amp;"♦"&amp;T('ICOP Transport'!H24),"")</f>
        <v/>
      </c>
    </row>
    <row r="652" spans="11:12">
      <c r="K652" t="str">
        <f>IF('ICOP Transport'!F25="Not Comply",MAX($K$4:K651)+1,"")</f>
        <v/>
      </c>
      <c r="L652" t="str">
        <f>IF('ICOP Transport'!F25="Not Comply",T('ICOP Transport'!K25)&amp;"♦"&amp;T('ICOP Transport'!B25)&amp;"♦"&amp;T('ICOP Transport'!G25)&amp;"♦"&amp;T('ICOP Transport'!H25),"")</f>
        <v/>
      </c>
    </row>
    <row r="653" spans="11:12">
      <c r="K653" t="str">
        <f>IF('ICOP Transport'!F26="Not Comply",MAX($K$4:K652)+1,"")</f>
        <v/>
      </c>
      <c r="L653" t="str">
        <f>IF('ICOP Transport'!F26="Not Comply",T('ICOP Transport'!K26)&amp;"♦"&amp;T('ICOP Transport'!B26)&amp;"♦"&amp;T('ICOP Transport'!G26)&amp;"♦"&amp;T('ICOP Transport'!H26),"")</f>
        <v/>
      </c>
    </row>
    <row r="654" spans="11:12">
      <c r="K654" t="str">
        <f>IF(MHA!F4="Not Comply",MAX($K$4:K653)+1,"")</f>
        <v/>
      </c>
      <c r="L654" t="str">
        <f>IF(MHA!F4="Not Comply",T(MHA!K4)&amp;"♦"&amp;T(MHA!B4)&amp;"♦"&amp;T(MHA!G4)&amp;"♦"&amp;T(MHA!H4),"")</f>
        <v/>
      </c>
    </row>
    <row r="655" spans="11:12">
      <c r="K655" t="str">
        <f>IF(MHA!F5="Not Comply",MAX($K$4:K654)+1,"")</f>
        <v/>
      </c>
      <c r="L655" t="str">
        <f>IF(MHA!F5="Not Comply",T(MHA!K5)&amp;"♦"&amp;T(MHA!B5)&amp;"♦"&amp;T(MHA!G5)&amp;"♦"&amp;T(MHA!H5),"")</f>
        <v/>
      </c>
    </row>
    <row r="656" spans="11:12">
      <c r="K656" t="str">
        <f>IF(MHA!F6="Not Comply",MAX($K$4:K655)+1,"")</f>
        <v/>
      </c>
      <c r="L656" t="str">
        <f>IF(MHA!F6="Not Comply",T(MHA!K6)&amp;"♦"&amp;T(MHA!B6)&amp;"♦"&amp;T(MHA!G6)&amp;"♦"&amp;T(MHA!H6),"")</f>
        <v/>
      </c>
    </row>
    <row r="657" spans="11:12">
      <c r="K657" t="str">
        <f>IF(MHA!F7="Not Comply",MAX($K$4:K656)+1,"")</f>
        <v/>
      </c>
      <c r="L657" t="str">
        <f>IF(MHA!F7="Not Comply",T(MHA!K7)&amp;"♦"&amp;T(MHA!B7)&amp;"♦"&amp;T(MHA!G7)&amp;"♦"&amp;T(MHA!H7),"")</f>
        <v/>
      </c>
    </row>
  </sheetData>
  <sheetProtection algorithmName="SHA-512" hashValue="s6mRUcwr/EndT+55dymFdwv/DvmmzbJ5F4KBKxikA71gJBOlNdG4qb9KN0OTfGP2nLV7ruyrXk4wq20sstL6Gg==" saltValue="N/3SUVjG6J1FtTKc0fwsxA==" spinCount="100000" sheet="1" objects="1" scenarios="1" formatColumns="0" formatRows="0"/>
  <protectedRanges>
    <protectedRange sqref="J75:J104" name="evidence"/>
    <protectedRange sqref="F5:G104" name="target and action"/>
  </protectedRanges>
  <mergeCells count="3">
    <mergeCell ref="A1:J1"/>
    <mergeCell ref="A2:J2"/>
    <mergeCell ref="A3:J3"/>
  </mergeCells>
  <dataValidations count="1">
    <dataValidation type="list" allowBlank="1" sqref="G5:G104" xr:uid="{2BD8C56D-3F65-4C19-A429-1A9F41974C6E}">
      <formula1>"Not Started,Open,In Progress,Closed"</formula1>
    </dataValidation>
  </dataValidation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CEA63-19FB-483E-93CC-46744572B1F3}">
  <sheetPr>
    <tabColor rgb="FFFFFF00"/>
  </sheetPr>
  <dimension ref="B2:I27"/>
  <sheetViews>
    <sheetView showGridLines="0" showRowColHeaders="0" topLeftCell="A9" zoomScale="99" zoomScaleNormal="99" workbookViewId="0">
      <selection activeCell="K10" sqref="K10"/>
    </sheetView>
  </sheetViews>
  <sheetFormatPr defaultRowHeight="14.5"/>
  <cols>
    <col min="1" max="1" width="3" customWidth="1"/>
    <col min="2" max="2" width="26.08984375" customWidth="1"/>
    <col min="3" max="3" width="3.1796875" customWidth="1"/>
    <col min="4" max="4" width="26.08984375" customWidth="1"/>
    <col min="5" max="6" width="3" customWidth="1"/>
    <col min="7" max="7" width="26.08984375" customWidth="1"/>
    <col min="8" max="8" width="3.1796875" customWidth="1"/>
    <col min="9" max="9" width="26.08984375" customWidth="1"/>
  </cols>
  <sheetData>
    <row r="2" spans="2:9">
      <c r="B2" s="221" t="s">
        <v>1813</v>
      </c>
      <c r="C2" s="169"/>
      <c r="D2" s="169"/>
      <c r="G2" s="222" t="s">
        <v>1844</v>
      </c>
      <c r="H2" s="169"/>
      <c r="I2" s="169"/>
    </row>
    <row r="3" spans="2:9">
      <c r="B3" s="169"/>
      <c r="C3" s="169"/>
      <c r="D3" s="169"/>
      <c r="G3" s="169"/>
      <c r="H3" s="169"/>
      <c r="I3" s="169"/>
    </row>
    <row r="5" spans="2:9" ht="26" customHeight="1">
      <c r="B5" s="223" t="s">
        <v>1814</v>
      </c>
      <c r="C5" s="190"/>
      <c r="D5" s="190"/>
      <c r="G5" s="223" t="s">
        <v>1815</v>
      </c>
      <c r="H5" s="190"/>
      <c r="I5" s="190"/>
    </row>
    <row r="6" spans="2:9" ht="26" customHeight="1">
      <c r="B6" s="114" t="s">
        <v>1816</v>
      </c>
      <c r="D6" s="114" t="s">
        <v>1817</v>
      </c>
      <c r="G6" s="115" t="s">
        <v>1818</v>
      </c>
      <c r="I6" s="115" t="s">
        <v>1819</v>
      </c>
    </row>
    <row r="7" spans="2:9" ht="26" customHeight="1">
      <c r="B7" s="114" t="s">
        <v>1820</v>
      </c>
      <c r="D7" s="114" t="s">
        <v>1821</v>
      </c>
      <c r="G7" s="115" t="s">
        <v>1822</v>
      </c>
      <c r="I7" s="115" t="s">
        <v>1823</v>
      </c>
    </row>
    <row r="8" spans="2:9" ht="26" customHeight="1">
      <c r="B8" s="114" t="s">
        <v>1824</v>
      </c>
      <c r="D8" s="114" t="s">
        <v>1825</v>
      </c>
      <c r="G8" s="115" t="s">
        <v>1826</v>
      </c>
      <c r="I8" s="115" t="s">
        <v>1827</v>
      </c>
    </row>
    <row r="9" spans="2:9" ht="26" customHeight="1">
      <c r="B9" s="114" t="s">
        <v>1828</v>
      </c>
      <c r="G9" s="115" t="s">
        <v>1829</v>
      </c>
      <c r="I9" s="115" t="s">
        <v>1830</v>
      </c>
    </row>
    <row r="10" spans="2:9" ht="26" customHeight="1">
      <c r="B10" s="116"/>
      <c r="G10" s="115" t="s">
        <v>1831</v>
      </c>
      <c r="I10" s="115" t="s">
        <v>1832</v>
      </c>
    </row>
    <row r="11" spans="2:9" ht="26" customHeight="1">
      <c r="G11" s="115" t="s">
        <v>1833</v>
      </c>
      <c r="I11" s="115" t="s">
        <v>1834</v>
      </c>
    </row>
    <row r="12" spans="2:9" ht="26" customHeight="1">
      <c r="B12" s="223" t="s">
        <v>1836</v>
      </c>
      <c r="C12" s="190"/>
      <c r="D12" s="190"/>
      <c r="I12" s="115" t="s">
        <v>1835</v>
      </c>
    </row>
    <row r="13" spans="2:9" ht="26" customHeight="1">
      <c r="B13" s="219" t="s">
        <v>2236</v>
      </c>
      <c r="C13" s="220"/>
      <c r="D13" s="220"/>
      <c r="I13" s="115" t="s">
        <v>1837</v>
      </c>
    </row>
    <row r="14" spans="2:9" ht="26" customHeight="1">
      <c r="B14" s="219" t="s">
        <v>1838</v>
      </c>
      <c r="C14" s="220"/>
      <c r="D14" s="220"/>
      <c r="I14" s="115" t="s">
        <v>1839</v>
      </c>
    </row>
    <row r="15" spans="2:9" ht="26" customHeight="1">
      <c r="B15" s="219" t="s">
        <v>1840</v>
      </c>
      <c r="C15" s="220"/>
      <c r="D15" s="220"/>
      <c r="I15" s="115" t="s">
        <v>1841</v>
      </c>
    </row>
    <row r="16" spans="2:9" ht="26" customHeight="1">
      <c r="B16" s="219" t="s">
        <v>1842</v>
      </c>
      <c r="C16" s="220"/>
      <c r="D16" s="220"/>
      <c r="I16" s="115" t="s">
        <v>1843</v>
      </c>
    </row>
    <row r="17" ht="24" customHeight="1"/>
    <row r="18" ht="24" customHeight="1"/>
    <row r="19" ht="24" customHeight="1"/>
    <row r="20" ht="24" customHeight="1"/>
    <row r="21" ht="24" customHeight="1"/>
    <row r="22" ht="24" customHeight="1"/>
    <row r="25" ht="24" customHeight="1"/>
    <row r="26" ht="24" customHeight="1"/>
    <row r="27" ht="24" customHeight="1"/>
  </sheetData>
  <sheetProtection algorithmName="SHA-512" hashValue="3QJjeaBux6EP4KUVcjH1kqNioVwS0nNLt3aKBTKznUuOGx+ytk9wkmzB6DqQOxYqazBlTazsbJmgnUTCsW1izg==" saltValue="EUBsPIoV/SNZWe04aaS2ig==" spinCount="100000" sheet="1" objects="1" scenarios="1"/>
  <mergeCells count="9">
    <mergeCell ref="B16:D16"/>
    <mergeCell ref="B2:D3"/>
    <mergeCell ref="G2:I3"/>
    <mergeCell ref="B5:D5"/>
    <mergeCell ref="G5:I5"/>
    <mergeCell ref="B12:D12"/>
    <mergeCell ref="B14:D14"/>
    <mergeCell ref="B15:D15"/>
    <mergeCell ref="B13:D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88E4D-BD2F-4EB4-A023-D0EDD7509ED3}">
  <sheetPr>
    <tabColor rgb="FFFFFF00"/>
  </sheetPr>
  <dimension ref="A1:C107"/>
  <sheetViews>
    <sheetView showGridLines="0" workbookViewId="0">
      <selection sqref="A1:C1"/>
    </sheetView>
  </sheetViews>
  <sheetFormatPr defaultRowHeight="14.5"/>
  <cols>
    <col min="1" max="1" width="11" customWidth="1"/>
    <col min="2" max="2" width="34" customWidth="1"/>
    <col min="3" max="3" width="68" customWidth="1"/>
  </cols>
  <sheetData>
    <row r="1" spans="1:3" ht="20" customHeight="1">
      <c r="A1" s="224" t="s">
        <v>1850</v>
      </c>
      <c r="B1" s="224"/>
      <c r="C1" s="224"/>
    </row>
    <row r="2" spans="1:3" ht="14.65" customHeight="1">
      <c r="A2" s="225" t="s">
        <v>1851</v>
      </c>
      <c r="B2" s="225"/>
      <c r="C2" s="225"/>
    </row>
    <row r="4" spans="1:3" ht="10" customHeight="1">
      <c r="A4" s="118" t="s">
        <v>1710</v>
      </c>
      <c r="B4" s="119" t="s">
        <v>1852</v>
      </c>
      <c r="C4" s="120" t="s">
        <v>1853</v>
      </c>
    </row>
    <row r="5" spans="1:3" ht="27.5" customHeight="1">
      <c r="A5" s="121">
        <v>1</v>
      </c>
      <c r="B5" s="122" t="s">
        <v>1854</v>
      </c>
      <c r="C5" s="123" t="s">
        <v>1855</v>
      </c>
    </row>
    <row r="6" spans="1:3" ht="16" customHeight="1">
      <c r="A6" s="124">
        <v>2</v>
      </c>
      <c r="B6" s="125" t="s">
        <v>1856</v>
      </c>
      <c r="C6" s="126" t="s">
        <v>1857</v>
      </c>
    </row>
    <row r="7" spans="1:3" ht="16" customHeight="1">
      <c r="A7" s="127">
        <v>3</v>
      </c>
      <c r="B7" s="128" t="s">
        <v>1858</v>
      </c>
      <c r="C7" s="129" t="s">
        <v>1859</v>
      </c>
    </row>
    <row r="8" spans="1:3" ht="16" customHeight="1">
      <c r="A8" s="124">
        <v>4</v>
      </c>
      <c r="B8" s="125" t="s">
        <v>1860</v>
      </c>
      <c r="C8" s="126" t="s">
        <v>1861</v>
      </c>
    </row>
    <row r="9" spans="1:3" ht="27.5" customHeight="1">
      <c r="A9" s="127">
        <v>5</v>
      </c>
      <c r="B9" s="128" t="s">
        <v>1547</v>
      </c>
      <c r="C9" s="129" t="s">
        <v>1862</v>
      </c>
    </row>
    <row r="10" spans="1:3" ht="27.5" customHeight="1">
      <c r="A10" s="124">
        <v>6</v>
      </c>
      <c r="B10" s="125" t="s">
        <v>1863</v>
      </c>
      <c r="C10" s="126" t="s">
        <v>1864</v>
      </c>
    </row>
    <row r="11" spans="1:3" ht="16" customHeight="1">
      <c r="A11" s="127">
        <v>7</v>
      </c>
      <c r="B11" s="128" t="s">
        <v>1865</v>
      </c>
      <c r="C11" s="129" t="s">
        <v>1866</v>
      </c>
    </row>
    <row r="12" spans="1:3" ht="16" customHeight="1">
      <c r="A12" s="124">
        <v>8</v>
      </c>
      <c r="B12" s="125" t="s">
        <v>1867</v>
      </c>
      <c r="C12" s="126" t="s">
        <v>1868</v>
      </c>
    </row>
    <row r="13" spans="1:3" ht="16" customHeight="1">
      <c r="A13" s="127">
        <v>9</v>
      </c>
      <c r="B13" s="128" t="s">
        <v>1869</v>
      </c>
      <c r="C13" s="129" t="s">
        <v>1870</v>
      </c>
    </row>
    <row r="14" spans="1:3" ht="27.5" customHeight="1">
      <c r="A14" s="124">
        <v>10</v>
      </c>
      <c r="B14" s="125" t="s">
        <v>1509</v>
      </c>
      <c r="C14" s="126" t="s">
        <v>1871</v>
      </c>
    </row>
    <row r="15" spans="1:3" ht="16" customHeight="1">
      <c r="A15" s="127">
        <v>11</v>
      </c>
      <c r="B15" s="128" t="s">
        <v>1872</v>
      </c>
      <c r="C15" s="129" t="s">
        <v>1873</v>
      </c>
    </row>
    <row r="16" spans="1:3" ht="27.5" customHeight="1">
      <c r="A16" s="124">
        <v>12</v>
      </c>
      <c r="B16" s="125" t="s">
        <v>1533</v>
      </c>
      <c r="C16" s="126" t="s">
        <v>1874</v>
      </c>
    </row>
    <row r="17" spans="1:3" ht="16" customHeight="1">
      <c r="A17" s="127">
        <v>13</v>
      </c>
      <c r="B17" s="128" t="s">
        <v>1875</v>
      </c>
      <c r="C17" s="129" t="s">
        <v>1876</v>
      </c>
    </row>
    <row r="18" spans="1:3" ht="16" customHeight="1">
      <c r="A18" s="124">
        <v>14</v>
      </c>
      <c r="B18" s="125" t="s">
        <v>1877</v>
      </c>
      <c r="C18" s="126" t="s">
        <v>1878</v>
      </c>
    </row>
    <row r="19" spans="1:3" ht="16" customHeight="1">
      <c r="A19" s="127">
        <v>15</v>
      </c>
      <c r="B19" s="128" t="s">
        <v>1879</v>
      </c>
      <c r="C19" s="129" t="s">
        <v>1880</v>
      </c>
    </row>
    <row r="20" spans="1:3" ht="16" customHeight="1">
      <c r="A20" s="124">
        <v>16</v>
      </c>
      <c r="B20" s="125" t="s">
        <v>1881</v>
      </c>
      <c r="C20" s="126" t="s">
        <v>1882</v>
      </c>
    </row>
    <row r="21" spans="1:3" ht="16" customHeight="1">
      <c r="A21" s="127">
        <v>17</v>
      </c>
      <c r="B21" s="128" t="s">
        <v>1883</v>
      </c>
      <c r="C21" s="129" t="s">
        <v>1884</v>
      </c>
    </row>
    <row r="22" spans="1:3" ht="16" customHeight="1">
      <c r="A22" s="124">
        <v>18</v>
      </c>
      <c r="B22" s="125" t="s">
        <v>1885</v>
      </c>
      <c r="C22" s="126" t="s">
        <v>1886</v>
      </c>
    </row>
    <row r="23" spans="1:3" ht="16" customHeight="1">
      <c r="A23" s="127">
        <v>19</v>
      </c>
      <c r="B23" s="128" t="s">
        <v>1887</v>
      </c>
      <c r="C23" s="129" t="s">
        <v>1888</v>
      </c>
    </row>
    <row r="24" spans="1:3" ht="27.5" customHeight="1">
      <c r="A24" s="124">
        <v>20</v>
      </c>
      <c r="B24" s="125" t="s">
        <v>1889</v>
      </c>
      <c r="C24" s="126" t="s">
        <v>1890</v>
      </c>
    </row>
    <row r="25" spans="1:3" ht="16" customHeight="1">
      <c r="A25" s="127">
        <v>21</v>
      </c>
      <c r="B25" s="128" t="s">
        <v>1891</v>
      </c>
      <c r="C25" s="129" t="s">
        <v>1892</v>
      </c>
    </row>
    <row r="26" spans="1:3" ht="27.5" customHeight="1">
      <c r="A26" s="124">
        <v>22</v>
      </c>
      <c r="B26" s="125" t="s">
        <v>1893</v>
      </c>
      <c r="C26" s="126" t="s">
        <v>1894</v>
      </c>
    </row>
    <row r="27" spans="1:3" ht="16" customHeight="1">
      <c r="A27" s="127">
        <v>23</v>
      </c>
      <c r="B27" s="128" t="s">
        <v>1895</v>
      </c>
      <c r="C27" s="129" t="s">
        <v>1896</v>
      </c>
    </row>
    <row r="28" spans="1:3" ht="16" customHeight="1">
      <c r="A28" s="124">
        <v>24</v>
      </c>
      <c r="B28" s="125" t="s">
        <v>1897</v>
      </c>
      <c r="C28" s="126" t="s">
        <v>1898</v>
      </c>
    </row>
    <row r="29" spans="1:3" ht="16" customHeight="1">
      <c r="A29" s="127">
        <v>25</v>
      </c>
      <c r="B29" s="128" t="s">
        <v>1899</v>
      </c>
      <c r="C29" s="129" t="s">
        <v>1900</v>
      </c>
    </row>
    <row r="30" spans="1:3" ht="16" customHeight="1">
      <c r="A30" s="124">
        <v>26</v>
      </c>
      <c r="B30" s="125" t="s">
        <v>1551</v>
      </c>
      <c r="C30" s="126" t="s">
        <v>1901</v>
      </c>
    </row>
    <row r="31" spans="1:3" ht="16" customHeight="1">
      <c r="A31" s="127">
        <v>27</v>
      </c>
      <c r="B31" s="128" t="s">
        <v>1902</v>
      </c>
      <c r="C31" s="129" t="s">
        <v>1903</v>
      </c>
    </row>
    <row r="32" spans="1:3" ht="16" customHeight="1">
      <c r="A32" s="127">
        <v>28</v>
      </c>
      <c r="B32" s="128" t="s">
        <v>1897</v>
      </c>
      <c r="C32" s="129" t="s">
        <v>1904</v>
      </c>
    </row>
    <row r="33" spans="1:3" ht="16" customHeight="1">
      <c r="A33" s="127">
        <v>29</v>
      </c>
      <c r="B33" s="128" t="s">
        <v>1560</v>
      </c>
      <c r="C33" s="129" t="s">
        <v>1905</v>
      </c>
    </row>
    <row r="34" spans="1:3" ht="27.5" customHeight="1">
      <c r="A34" s="124">
        <v>30</v>
      </c>
      <c r="B34" s="125" t="s">
        <v>1906</v>
      </c>
      <c r="C34" s="126" t="s">
        <v>1907</v>
      </c>
    </row>
    <row r="35" spans="1:3" ht="16" customHeight="1">
      <c r="A35" s="127">
        <v>31</v>
      </c>
      <c r="B35" s="128" t="s">
        <v>1908</v>
      </c>
      <c r="C35" s="129" t="s">
        <v>1909</v>
      </c>
    </row>
    <row r="36" spans="1:3" ht="16" customHeight="1">
      <c r="A36" s="124">
        <v>32</v>
      </c>
      <c r="B36" s="125" t="s">
        <v>1555</v>
      </c>
      <c r="C36" s="126" t="s">
        <v>1910</v>
      </c>
    </row>
    <row r="37" spans="1:3" ht="16" customHeight="1">
      <c r="A37" s="127">
        <v>33</v>
      </c>
      <c r="B37" s="128" t="s">
        <v>1911</v>
      </c>
      <c r="C37" s="129" t="s">
        <v>1912</v>
      </c>
    </row>
    <row r="38" spans="1:3" ht="16" customHeight="1">
      <c r="A38" s="124">
        <v>34</v>
      </c>
      <c r="B38" s="125" t="s">
        <v>1913</v>
      </c>
      <c r="C38" s="126" t="s">
        <v>1914</v>
      </c>
    </row>
    <row r="39" spans="1:3" ht="16" customHeight="1">
      <c r="A39" s="127">
        <v>35</v>
      </c>
      <c r="B39" s="128" t="s">
        <v>1915</v>
      </c>
      <c r="C39" s="129" t="s">
        <v>1916</v>
      </c>
    </row>
    <row r="40" spans="1:3" ht="16" customHeight="1">
      <c r="A40" s="124">
        <v>36</v>
      </c>
      <c r="B40" s="125" t="s">
        <v>630</v>
      </c>
      <c r="C40" s="126" t="s">
        <v>1917</v>
      </c>
    </row>
    <row r="41" spans="1:3" ht="16" customHeight="1">
      <c r="A41" s="127">
        <v>37</v>
      </c>
      <c r="B41" s="128" t="s">
        <v>631</v>
      </c>
      <c r="C41" s="129" t="s">
        <v>1918</v>
      </c>
    </row>
    <row r="42" spans="1:3" ht="16" customHeight="1">
      <c r="A42" s="124">
        <v>38</v>
      </c>
      <c r="B42" s="125" t="s">
        <v>1919</v>
      </c>
      <c r="C42" s="126" t="s">
        <v>1920</v>
      </c>
    </row>
    <row r="43" spans="1:3" ht="16" customHeight="1">
      <c r="A43" s="127">
        <v>39</v>
      </c>
      <c r="B43" s="128" t="s">
        <v>1921</v>
      </c>
      <c r="C43" s="129" t="s">
        <v>1922</v>
      </c>
    </row>
    <row r="44" spans="1:3" ht="16" customHeight="1">
      <c r="A44" s="124">
        <v>40</v>
      </c>
      <c r="B44" s="125" t="s">
        <v>1923</v>
      </c>
      <c r="C44" s="126" t="s">
        <v>1924</v>
      </c>
    </row>
    <row r="45" spans="1:3" ht="16" customHeight="1">
      <c r="A45" s="127">
        <v>41</v>
      </c>
      <c r="B45" s="128" t="s">
        <v>1925</v>
      </c>
      <c r="C45" s="129" t="s">
        <v>1926</v>
      </c>
    </row>
    <row r="46" spans="1:3" ht="16" customHeight="1">
      <c r="A46" s="124">
        <v>42</v>
      </c>
      <c r="B46" s="125" t="s">
        <v>1927</v>
      </c>
      <c r="C46" s="126" t="s">
        <v>1928</v>
      </c>
    </row>
    <row r="47" spans="1:3" ht="16" customHeight="1">
      <c r="A47" s="127">
        <v>43</v>
      </c>
      <c r="B47" s="128" t="s">
        <v>1929</v>
      </c>
      <c r="C47" s="129" t="s">
        <v>1930</v>
      </c>
    </row>
    <row r="48" spans="1:3" ht="16" customHeight="1">
      <c r="A48" s="124">
        <v>44</v>
      </c>
      <c r="B48" s="125" t="s">
        <v>1931</v>
      </c>
      <c r="C48" s="126" t="s">
        <v>1932</v>
      </c>
    </row>
    <row r="49" spans="1:3" ht="16" customHeight="1">
      <c r="A49" s="127">
        <v>45</v>
      </c>
      <c r="B49" s="128" t="s">
        <v>1933</v>
      </c>
      <c r="C49" s="129" t="s">
        <v>1934</v>
      </c>
    </row>
    <row r="50" spans="1:3" ht="27.5" customHeight="1">
      <c r="A50" s="124">
        <v>46</v>
      </c>
      <c r="B50" s="125" t="s">
        <v>1935</v>
      </c>
      <c r="C50" s="126" t="s">
        <v>1936</v>
      </c>
    </row>
    <row r="51" spans="1:3" ht="16" customHeight="1">
      <c r="A51" s="127">
        <v>47</v>
      </c>
      <c r="B51" s="128" t="s">
        <v>1937</v>
      </c>
      <c r="C51" s="129" t="s">
        <v>1938</v>
      </c>
    </row>
    <row r="52" spans="1:3" ht="16" customHeight="1">
      <c r="A52" s="124">
        <v>48</v>
      </c>
      <c r="B52" s="125" t="s">
        <v>1939</v>
      </c>
      <c r="C52" s="126" t="s">
        <v>1940</v>
      </c>
    </row>
    <row r="53" spans="1:3" ht="16" customHeight="1">
      <c r="A53" s="127">
        <v>49</v>
      </c>
      <c r="B53" s="128" t="s">
        <v>1941</v>
      </c>
      <c r="C53" s="129" t="s">
        <v>1942</v>
      </c>
    </row>
    <row r="54" spans="1:3" ht="16" customHeight="1">
      <c r="A54" s="124">
        <v>50</v>
      </c>
      <c r="B54" s="125" t="s">
        <v>1943</v>
      </c>
      <c r="C54" s="126" t="s">
        <v>1944</v>
      </c>
    </row>
    <row r="55" spans="1:3" ht="16" customHeight="1">
      <c r="A55" s="127">
        <v>51</v>
      </c>
      <c r="B55" s="128" t="s">
        <v>629</v>
      </c>
      <c r="C55" s="129" t="s">
        <v>1945</v>
      </c>
    </row>
    <row r="56" spans="1:3" ht="16" customHeight="1">
      <c r="A56" s="124">
        <v>52</v>
      </c>
      <c r="B56" s="125" t="s">
        <v>1469</v>
      </c>
      <c r="C56" s="126" t="s">
        <v>1946</v>
      </c>
    </row>
    <row r="57" spans="1:3" ht="16" customHeight="1">
      <c r="A57" s="127">
        <v>53</v>
      </c>
      <c r="B57" s="128" t="s">
        <v>1947</v>
      </c>
      <c r="C57" s="129" t="s">
        <v>1948</v>
      </c>
    </row>
    <row r="58" spans="1:3" ht="16" customHeight="1">
      <c r="A58" s="124">
        <v>54</v>
      </c>
      <c r="B58" s="125" t="s">
        <v>1949</v>
      </c>
      <c r="C58" s="126" t="s">
        <v>1950</v>
      </c>
    </row>
    <row r="59" spans="1:3" ht="27.5" customHeight="1">
      <c r="A59" s="127">
        <v>55</v>
      </c>
      <c r="B59" s="128" t="s">
        <v>1537</v>
      </c>
      <c r="C59" s="129" t="s">
        <v>1951</v>
      </c>
    </row>
    <row r="60" spans="1:3" ht="16" customHeight="1">
      <c r="A60" s="124">
        <v>56</v>
      </c>
      <c r="B60" s="125" t="s">
        <v>1952</v>
      </c>
      <c r="C60" s="126" t="s">
        <v>1953</v>
      </c>
    </row>
    <row r="61" spans="1:3" ht="16" customHeight="1">
      <c r="A61" s="127">
        <v>57</v>
      </c>
      <c r="B61" s="128" t="s">
        <v>273</v>
      </c>
      <c r="C61" s="129" t="s">
        <v>1954</v>
      </c>
    </row>
    <row r="62" spans="1:3" ht="16" customHeight="1">
      <c r="A62" s="124">
        <v>58</v>
      </c>
      <c r="B62" s="125" t="s">
        <v>1955</v>
      </c>
      <c r="C62" s="126" t="s">
        <v>1956</v>
      </c>
    </row>
    <row r="63" spans="1:3" ht="16" customHeight="1">
      <c r="A63" s="127">
        <v>59</v>
      </c>
      <c r="B63" s="128" t="s">
        <v>1957</v>
      </c>
      <c r="C63" s="129" t="s">
        <v>1958</v>
      </c>
    </row>
    <row r="64" spans="1:3" ht="16" customHeight="1">
      <c r="A64" s="124">
        <v>60</v>
      </c>
      <c r="B64" s="125" t="s">
        <v>1959</v>
      </c>
      <c r="C64" s="126" t="s">
        <v>1960</v>
      </c>
    </row>
    <row r="65" spans="1:3" ht="16" customHeight="1">
      <c r="A65" s="127">
        <v>61</v>
      </c>
      <c r="B65" s="128" t="s">
        <v>1961</v>
      </c>
      <c r="C65" s="129" t="s">
        <v>1962</v>
      </c>
    </row>
    <row r="66" spans="1:3" ht="16" customHeight="1">
      <c r="A66" s="124">
        <v>62</v>
      </c>
      <c r="B66" s="125" t="s">
        <v>1963</v>
      </c>
      <c r="C66" s="126" t="s">
        <v>1964</v>
      </c>
    </row>
    <row r="67" spans="1:3" ht="16" customHeight="1">
      <c r="A67" s="127">
        <v>63</v>
      </c>
      <c r="B67" s="128" t="s">
        <v>1965</v>
      </c>
      <c r="C67" s="129" t="s">
        <v>1966</v>
      </c>
    </row>
    <row r="68" spans="1:3" ht="16" customHeight="1">
      <c r="A68" s="124">
        <v>64</v>
      </c>
      <c r="B68" s="125" t="s">
        <v>1463</v>
      </c>
      <c r="C68" s="126" t="s">
        <v>1967</v>
      </c>
    </row>
    <row r="69" spans="1:3" ht="16" customHeight="1">
      <c r="A69" s="127">
        <v>65</v>
      </c>
      <c r="B69" s="128" t="s">
        <v>1968</v>
      </c>
      <c r="C69" s="129" t="s">
        <v>1969</v>
      </c>
    </row>
    <row r="70" spans="1:3" ht="16" customHeight="1">
      <c r="A70" s="124">
        <v>66</v>
      </c>
      <c r="B70" s="125" t="s">
        <v>1970</v>
      </c>
      <c r="C70" s="126" t="s">
        <v>1971</v>
      </c>
    </row>
    <row r="71" spans="1:3" ht="16" customHeight="1">
      <c r="A71" s="127">
        <v>67</v>
      </c>
      <c r="B71" s="128" t="s">
        <v>1972</v>
      </c>
      <c r="C71" s="129" t="s">
        <v>1973</v>
      </c>
    </row>
    <row r="72" spans="1:3" ht="16" customHeight="1">
      <c r="A72" s="124">
        <v>68</v>
      </c>
      <c r="B72" s="125" t="s">
        <v>1014</v>
      </c>
      <c r="C72" s="126" t="s">
        <v>1974</v>
      </c>
    </row>
    <row r="73" spans="1:3" ht="16" customHeight="1">
      <c r="A73" s="127">
        <v>69</v>
      </c>
      <c r="B73" s="128" t="s">
        <v>1975</v>
      </c>
      <c r="C73" s="129" t="s">
        <v>1976</v>
      </c>
    </row>
    <row r="74" spans="1:3" ht="27.5" customHeight="1">
      <c r="A74" s="124">
        <v>70</v>
      </c>
      <c r="B74" s="125" t="s">
        <v>1977</v>
      </c>
      <c r="C74" s="126" t="s">
        <v>1978</v>
      </c>
    </row>
    <row r="75" spans="1:3" ht="16" customHeight="1">
      <c r="A75" s="127">
        <v>71</v>
      </c>
      <c r="B75" s="128" t="s">
        <v>1847</v>
      </c>
      <c r="C75" s="129" t="s">
        <v>1979</v>
      </c>
    </row>
    <row r="76" spans="1:3" ht="16" customHeight="1">
      <c r="A76" s="124">
        <v>72</v>
      </c>
      <c r="B76" s="125" t="s">
        <v>1980</v>
      </c>
      <c r="C76" s="126" t="s">
        <v>1981</v>
      </c>
    </row>
    <row r="77" spans="1:3" ht="16" customHeight="1">
      <c r="A77" s="127">
        <v>73</v>
      </c>
      <c r="B77" s="128" t="s">
        <v>1982</v>
      </c>
      <c r="C77" s="129" t="s">
        <v>1983</v>
      </c>
    </row>
    <row r="78" spans="1:3" ht="16" customHeight="1">
      <c r="A78" s="124">
        <v>74</v>
      </c>
      <c r="B78" s="125" t="s">
        <v>34</v>
      </c>
      <c r="C78" s="126" t="s">
        <v>1984</v>
      </c>
    </row>
    <row r="79" spans="1:3" ht="16" customHeight="1">
      <c r="A79" s="127">
        <v>75</v>
      </c>
      <c r="B79" s="128" t="s">
        <v>1985</v>
      </c>
      <c r="C79" s="129" t="s">
        <v>1986</v>
      </c>
    </row>
    <row r="80" spans="1:3" ht="16" customHeight="1">
      <c r="A80" s="124">
        <v>76</v>
      </c>
      <c r="B80" s="125" t="s">
        <v>1987</v>
      </c>
      <c r="C80" s="126" t="s">
        <v>1988</v>
      </c>
    </row>
    <row r="81" spans="1:3" ht="16" customHeight="1">
      <c r="A81" s="127">
        <v>77</v>
      </c>
      <c r="B81" s="128" t="s">
        <v>1989</v>
      </c>
      <c r="C81" s="129" t="s">
        <v>1990</v>
      </c>
    </row>
    <row r="82" spans="1:3" ht="16" customHeight="1">
      <c r="A82" s="124">
        <v>78</v>
      </c>
      <c r="B82" s="125" t="s">
        <v>1991</v>
      </c>
      <c r="C82" s="126" t="s">
        <v>1992</v>
      </c>
    </row>
    <row r="83" spans="1:3" ht="16" customHeight="1">
      <c r="A83" s="127">
        <v>79</v>
      </c>
      <c r="B83" s="128" t="s">
        <v>1993</v>
      </c>
      <c r="C83" s="129" t="s">
        <v>1994</v>
      </c>
    </row>
    <row r="84" spans="1:3" ht="16" customHeight="1">
      <c r="A84" s="124">
        <v>80</v>
      </c>
      <c r="B84" s="125" t="s">
        <v>1995</v>
      </c>
      <c r="C84" s="126" t="s">
        <v>1996</v>
      </c>
    </row>
    <row r="85" spans="1:3" ht="16" customHeight="1">
      <c r="A85" s="127">
        <v>81</v>
      </c>
      <c r="B85" s="128" t="s">
        <v>1997</v>
      </c>
      <c r="C85" s="129" t="s">
        <v>1998</v>
      </c>
    </row>
    <row r="86" spans="1:3" ht="16" customHeight="1">
      <c r="A86" s="124">
        <v>82</v>
      </c>
      <c r="B86" s="125" t="s">
        <v>632</v>
      </c>
      <c r="C86" s="126" t="s">
        <v>1999</v>
      </c>
    </row>
    <row r="87" spans="1:3" ht="16" customHeight="1">
      <c r="A87" s="127">
        <v>83</v>
      </c>
      <c r="B87" s="128" t="s">
        <v>2000</v>
      </c>
      <c r="C87" s="129" t="s">
        <v>2001</v>
      </c>
    </row>
    <row r="88" spans="1:3" ht="16" customHeight="1">
      <c r="A88" s="124">
        <v>84</v>
      </c>
      <c r="B88" s="125" t="s">
        <v>2002</v>
      </c>
      <c r="C88" s="126" t="s">
        <v>2003</v>
      </c>
    </row>
    <row r="89" spans="1:3" ht="16" customHeight="1">
      <c r="A89" s="127">
        <v>85</v>
      </c>
      <c r="B89" s="128" t="s">
        <v>2004</v>
      </c>
      <c r="C89" s="129" t="s">
        <v>2005</v>
      </c>
    </row>
    <row r="90" spans="1:3" ht="16" customHeight="1">
      <c r="A90" s="124">
        <v>86</v>
      </c>
      <c r="B90" s="125" t="s">
        <v>2006</v>
      </c>
      <c r="C90" s="126" t="s">
        <v>2007</v>
      </c>
    </row>
    <row r="91" spans="1:3" ht="27.5" customHeight="1">
      <c r="A91" s="127">
        <v>87</v>
      </c>
      <c r="B91" s="128" t="s">
        <v>2008</v>
      </c>
      <c r="C91" s="129" t="s">
        <v>2009</v>
      </c>
    </row>
    <row r="92" spans="1:3" ht="16" customHeight="1">
      <c r="A92" s="124">
        <v>88</v>
      </c>
      <c r="B92" s="125" t="s">
        <v>2010</v>
      </c>
      <c r="C92" s="126" t="s">
        <v>2011</v>
      </c>
    </row>
    <row r="93" spans="1:3" ht="16" customHeight="1">
      <c r="A93" s="127">
        <v>89</v>
      </c>
      <c r="B93" s="128" t="s">
        <v>2012</v>
      </c>
      <c r="C93" s="129" t="s">
        <v>2013</v>
      </c>
    </row>
    <row r="94" spans="1:3" ht="16" customHeight="1">
      <c r="A94" s="124">
        <v>90</v>
      </c>
      <c r="B94" s="125" t="s">
        <v>2014</v>
      </c>
      <c r="C94" s="126" t="s">
        <v>2015</v>
      </c>
    </row>
    <row r="95" spans="1:3" ht="27.5" customHeight="1">
      <c r="A95" s="127">
        <v>91</v>
      </c>
      <c r="B95" s="128" t="s">
        <v>2016</v>
      </c>
      <c r="C95" s="129" t="s">
        <v>2017</v>
      </c>
    </row>
    <row r="96" spans="1:3" ht="16" customHeight="1">
      <c r="A96" s="124">
        <v>92</v>
      </c>
      <c r="B96" s="125" t="s">
        <v>2018</v>
      </c>
      <c r="C96" s="126" t="s">
        <v>2019</v>
      </c>
    </row>
    <row r="97" spans="1:3" ht="16" customHeight="1">
      <c r="A97" s="127">
        <v>93</v>
      </c>
      <c r="B97" s="128" t="s">
        <v>2020</v>
      </c>
      <c r="C97" s="129" t="s">
        <v>2021</v>
      </c>
    </row>
    <row r="98" spans="1:3" ht="16" customHeight="1">
      <c r="A98" s="124">
        <v>94</v>
      </c>
      <c r="B98" s="125" t="s">
        <v>2022</v>
      </c>
      <c r="C98" s="126" t="s">
        <v>2023</v>
      </c>
    </row>
    <row r="99" spans="1:3" ht="16" customHeight="1">
      <c r="A99" s="127">
        <v>95</v>
      </c>
      <c r="B99" s="128" t="s">
        <v>2024</v>
      </c>
      <c r="C99" s="129" t="s">
        <v>2025</v>
      </c>
    </row>
    <row r="100" spans="1:3" ht="16" customHeight="1">
      <c r="A100" s="124">
        <v>96</v>
      </c>
      <c r="B100" s="125" t="s">
        <v>2026</v>
      </c>
      <c r="C100" s="126" t="s">
        <v>2027</v>
      </c>
    </row>
    <row r="101" spans="1:3" ht="16" customHeight="1">
      <c r="A101" s="127">
        <v>97</v>
      </c>
      <c r="B101" s="128" t="s">
        <v>1496</v>
      </c>
      <c r="C101" s="129" t="s">
        <v>2028</v>
      </c>
    </row>
    <row r="102" spans="1:3" ht="16" customHeight="1">
      <c r="A102" s="124">
        <v>98</v>
      </c>
      <c r="B102" s="125" t="s">
        <v>2029</v>
      </c>
      <c r="C102" s="126" t="s">
        <v>1208</v>
      </c>
    </row>
    <row r="103" spans="1:3" ht="16" customHeight="1">
      <c r="A103" s="127">
        <v>99</v>
      </c>
      <c r="B103" s="128" t="s">
        <v>633</v>
      </c>
      <c r="C103" s="129" t="s">
        <v>2030</v>
      </c>
    </row>
    <row r="104" spans="1:3" ht="16" customHeight="1">
      <c r="A104" s="124">
        <v>100</v>
      </c>
      <c r="B104" s="125" t="s">
        <v>1505</v>
      </c>
      <c r="C104" s="126" t="s">
        <v>2031</v>
      </c>
    </row>
    <row r="105" spans="1:3" ht="16" customHeight="1">
      <c r="A105" s="124">
        <v>101</v>
      </c>
      <c r="B105" s="125" t="s">
        <v>2063</v>
      </c>
      <c r="C105" s="126" t="s">
        <v>2237</v>
      </c>
    </row>
    <row r="106" spans="1:3" ht="16" customHeight="1">
      <c r="A106" s="127">
        <v>102</v>
      </c>
      <c r="B106" s="128" t="s">
        <v>2032</v>
      </c>
      <c r="C106" s="129" t="s">
        <v>2033</v>
      </c>
    </row>
    <row r="107" spans="1:3" ht="16" customHeight="1">
      <c r="A107" s="124">
        <v>103</v>
      </c>
      <c r="B107" s="130" t="s">
        <v>1500</v>
      </c>
      <c r="C107" s="131" t="s">
        <v>2034</v>
      </c>
    </row>
  </sheetData>
  <mergeCells count="2">
    <mergeCell ref="A1:C1"/>
    <mergeCell ref="A2:C2"/>
  </mergeCells>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7D16-2E37-46A0-893F-1665A628C53F}">
  <dimension ref="A1:Q120"/>
  <sheetViews>
    <sheetView zoomScaleNormal="100" workbookViewId="0">
      <selection activeCell="C7" sqref="C7"/>
    </sheetView>
  </sheetViews>
  <sheetFormatPr defaultRowHeight="14.5"/>
  <cols>
    <col min="1" max="2" width="18" customWidth="1"/>
    <col min="3" max="3" width="24" customWidth="1"/>
    <col min="4" max="4" width="30" customWidth="1"/>
    <col min="5" max="5" width="24" customWidth="1"/>
    <col min="6" max="6" width="22" customWidth="1"/>
    <col min="7" max="7" width="18" customWidth="1"/>
    <col min="8" max="8" width="20" customWidth="1"/>
    <col min="9" max="10" width="14" customWidth="1"/>
    <col min="11" max="11" width="16" customWidth="1"/>
    <col min="12" max="12" width="14" customWidth="1"/>
    <col min="13" max="13" width="18" customWidth="1"/>
    <col min="14" max="14" width="20" customWidth="1"/>
    <col min="15" max="15" width="14" customWidth="1"/>
    <col min="16" max="16" width="28" customWidth="1"/>
    <col min="17" max="17" width="34" customWidth="1"/>
  </cols>
  <sheetData>
    <row r="1" spans="1:17" ht="18.649999999999999" customHeight="1">
      <c r="A1" s="227" t="s">
        <v>1361</v>
      </c>
      <c r="B1" s="227"/>
      <c r="C1" s="227"/>
      <c r="D1" s="227"/>
      <c r="E1" s="227"/>
      <c r="F1" s="227"/>
      <c r="G1" s="227"/>
      <c r="H1" s="227"/>
      <c r="I1" s="227"/>
      <c r="J1" s="227"/>
      <c r="K1" s="227"/>
      <c r="L1" s="227"/>
      <c r="M1" s="227"/>
      <c r="N1" s="227"/>
      <c r="O1" s="227"/>
      <c r="P1" s="227"/>
      <c r="Q1" s="227"/>
    </row>
    <row r="2" spans="1:17" ht="20" customHeight="1">
      <c r="A2" s="228" t="s">
        <v>1362</v>
      </c>
      <c r="B2" s="228"/>
      <c r="C2" s="228"/>
      <c r="D2" s="228"/>
      <c r="E2" s="228"/>
      <c r="F2" s="228"/>
      <c r="G2" s="228"/>
      <c r="H2" s="228"/>
      <c r="I2" s="228"/>
      <c r="J2" s="228"/>
      <c r="K2" s="228"/>
      <c r="L2" s="228"/>
      <c r="M2" s="228"/>
      <c r="N2" s="228"/>
      <c r="O2" s="228"/>
      <c r="P2" s="228"/>
      <c r="Q2" s="228"/>
    </row>
    <row r="3" spans="1:17">
      <c r="A3" s="62"/>
      <c r="B3" s="62"/>
      <c r="C3" s="62"/>
      <c r="D3" s="62"/>
      <c r="E3" s="62"/>
      <c r="F3" s="62"/>
      <c r="G3" s="62"/>
      <c r="H3" s="62"/>
      <c r="I3" s="62"/>
      <c r="J3" s="62"/>
      <c r="K3" s="62"/>
      <c r="L3" s="62"/>
      <c r="M3" s="62"/>
      <c r="N3" s="62"/>
      <c r="O3" s="62"/>
      <c r="P3" s="62"/>
      <c r="Q3" s="62"/>
    </row>
    <row r="4" spans="1:17" ht="16" customHeight="1">
      <c r="A4" s="63" t="s">
        <v>1363</v>
      </c>
      <c r="B4" s="63" t="s">
        <v>1364</v>
      </c>
      <c r="C4" s="63" t="s">
        <v>1365</v>
      </c>
      <c r="D4" s="63" t="s">
        <v>1366</v>
      </c>
      <c r="E4" s="63" t="s">
        <v>1367</v>
      </c>
      <c r="F4" s="63" t="s">
        <v>1368</v>
      </c>
      <c r="G4" s="62"/>
      <c r="H4" s="62"/>
      <c r="I4" s="62"/>
      <c r="J4" s="62"/>
      <c r="K4" s="62"/>
      <c r="L4" s="62"/>
      <c r="M4" s="62"/>
      <c r="N4" s="62"/>
      <c r="O4" s="62"/>
      <c r="P4" s="62"/>
      <c r="Q4" s="62"/>
    </row>
    <row r="5" spans="1:17" ht="24">
      <c r="A5" s="62" t="s">
        <v>1369</v>
      </c>
      <c r="B5" s="62" t="s">
        <v>1370</v>
      </c>
      <c r="C5" s="64" t="s">
        <v>1371</v>
      </c>
      <c r="D5" s="62" t="s">
        <v>1371</v>
      </c>
      <c r="E5" s="62" t="s">
        <v>1372</v>
      </c>
      <c r="F5" s="62" t="s">
        <v>1373</v>
      </c>
      <c r="G5" s="62"/>
      <c r="H5" s="62"/>
      <c r="I5" s="62"/>
      <c r="J5" s="62"/>
      <c r="K5" s="62"/>
      <c r="L5" s="62"/>
      <c r="M5" s="62"/>
      <c r="N5" s="62"/>
      <c r="O5" s="62"/>
      <c r="P5" s="62"/>
      <c r="Q5" s="62"/>
    </row>
    <row r="6" spans="1:17" ht="24">
      <c r="A6" s="62" t="s">
        <v>1374</v>
      </c>
      <c r="B6" s="62" t="s">
        <v>1375</v>
      </c>
      <c r="C6" s="64" t="s">
        <v>2542</v>
      </c>
      <c r="D6" s="62" t="s">
        <v>1376</v>
      </c>
      <c r="E6" s="62" t="s">
        <v>1372</v>
      </c>
      <c r="F6" s="62" t="s">
        <v>1377</v>
      </c>
      <c r="G6" s="62"/>
      <c r="H6" s="62"/>
      <c r="I6" s="62"/>
      <c r="J6" s="62"/>
      <c r="K6" s="62"/>
      <c r="L6" s="62"/>
      <c r="M6" s="62"/>
      <c r="N6" s="62"/>
      <c r="O6" s="62"/>
      <c r="P6" s="62"/>
      <c r="Q6" s="62"/>
    </row>
    <row r="7" spans="1:17" ht="24">
      <c r="A7" s="62" t="s">
        <v>1378</v>
      </c>
      <c r="B7" s="62" t="s">
        <v>1379</v>
      </c>
      <c r="C7" s="64" t="e">
        <f>CONCATENATE(Home!#REF!,": ",Home!#REF!)</f>
        <v>#REF!</v>
      </c>
      <c r="D7" s="62" t="s">
        <v>1380</v>
      </c>
      <c r="E7" s="62" t="s">
        <v>1381</v>
      </c>
      <c r="F7" s="62" t="s">
        <v>1382</v>
      </c>
      <c r="G7" s="62"/>
      <c r="H7" s="62"/>
      <c r="I7" s="62"/>
      <c r="J7" s="62"/>
      <c r="K7" s="62"/>
      <c r="L7" s="62"/>
      <c r="M7" s="62"/>
      <c r="N7" s="62"/>
      <c r="O7" s="62"/>
      <c r="P7" s="62"/>
      <c r="Q7" s="62"/>
    </row>
    <row r="8" spans="1:17">
      <c r="A8" s="62" t="s">
        <v>625</v>
      </c>
      <c r="B8" s="62" t="s">
        <v>1383</v>
      </c>
      <c r="C8" s="64">
        <f>Home!B6</f>
        <v>0</v>
      </c>
      <c r="D8" s="62" t="s">
        <v>1380</v>
      </c>
      <c r="E8" s="62" t="s">
        <v>1381</v>
      </c>
      <c r="F8" s="62" t="s">
        <v>1384</v>
      </c>
      <c r="G8" s="62"/>
      <c r="H8" s="62"/>
      <c r="I8" s="62"/>
      <c r="J8" s="62"/>
      <c r="K8" s="62"/>
      <c r="L8" s="62"/>
      <c r="M8" s="62"/>
      <c r="N8" s="62"/>
      <c r="O8" s="62"/>
      <c r="P8" s="62"/>
      <c r="Q8" s="62"/>
    </row>
    <row r="9" spans="1:17" ht="24">
      <c r="A9" s="62" t="s">
        <v>1385</v>
      </c>
      <c r="B9" s="62" t="s">
        <v>1386</v>
      </c>
      <c r="C9" s="65">
        <f ca="1">TODAY()</f>
        <v>46285</v>
      </c>
      <c r="D9" s="78">
        <v>46190</v>
      </c>
      <c r="E9" s="62" t="s">
        <v>1387</v>
      </c>
      <c r="F9" s="62" t="s">
        <v>1388</v>
      </c>
      <c r="G9" s="62"/>
      <c r="H9" s="62"/>
      <c r="I9" s="62"/>
      <c r="J9" s="62"/>
      <c r="K9" s="62"/>
      <c r="L9" s="62"/>
      <c r="M9" s="62"/>
      <c r="N9" s="62"/>
      <c r="O9" s="62"/>
      <c r="P9" s="62"/>
      <c r="Q9" s="62"/>
    </row>
    <row r="10" spans="1:17">
      <c r="A10" s="62" t="s">
        <v>1389</v>
      </c>
      <c r="B10" s="62" t="s">
        <v>1390</v>
      </c>
      <c r="C10" s="64" t="s">
        <v>1391</v>
      </c>
      <c r="D10" s="104" t="s">
        <v>1391</v>
      </c>
      <c r="E10" s="62" t="s">
        <v>1381</v>
      </c>
      <c r="F10" s="62" t="s">
        <v>1392</v>
      </c>
      <c r="G10" s="62"/>
      <c r="H10" s="62"/>
      <c r="I10" s="62"/>
      <c r="J10" s="62"/>
      <c r="K10" s="62"/>
      <c r="L10" s="62"/>
      <c r="M10" s="62"/>
      <c r="N10" s="62"/>
      <c r="O10" s="62"/>
      <c r="P10" s="62"/>
      <c r="Q10" s="62"/>
    </row>
    <row r="11" spans="1:17" ht="24">
      <c r="A11" s="62" t="s">
        <v>1393</v>
      </c>
      <c r="B11" s="62" t="s">
        <v>1394</v>
      </c>
      <c r="C11" s="66">
        <v>0.95</v>
      </c>
      <c r="D11" s="62" t="s">
        <v>1395</v>
      </c>
      <c r="E11" s="62" t="s">
        <v>1396</v>
      </c>
      <c r="F11" s="62" t="s">
        <v>1397</v>
      </c>
      <c r="G11" s="62"/>
      <c r="H11" s="62"/>
      <c r="I11" s="62"/>
      <c r="J11" s="62"/>
      <c r="K11" s="62"/>
      <c r="L11" s="62"/>
      <c r="M11" s="62"/>
      <c r="N11" s="62"/>
      <c r="O11" s="62"/>
      <c r="P11" s="62"/>
      <c r="Q11" s="62"/>
    </row>
    <row r="12" spans="1:17" ht="24">
      <c r="A12" s="62" t="s">
        <v>1398</v>
      </c>
      <c r="B12" s="62" t="s">
        <v>1399</v>
      </c>
      <c r="C12" s="64">
        <v>7</v>
      </c>
      <c r="D12" s="62" t="s">
        <v>1400</v>
      </c>
      <c r="E12" s="62" t="s">
        <v>1401</v>
      </c>
      <c r="F12" s="62" t="s">
        <v>1402</v>
      </c>
      <c r="G12" s="62"/>
      <c r="H12" s="62"/>
      <c r="I12" s="62"/>
      <c r="J12" s="62"/>
      <c r="K12" s="62"/>
      <c r="L12" s="62"/>
      <c r="M12" s="62"/>
      <c r="N12" s="62"/>
      <c r="O12" s="62"/>
      <c r="P12" s="62"/>
      <c r="Q12" s="62"/>
    </row>
    <row r="13" spans="1:17">
      <c r="A13" s="62"/>
      <c r="B13" s="62"/>
      <c r="C13" s="62"/>
      <c r="D13" s="62"/>
      <c r="E13" s="62"/>
      <c r="F13" s="62"/>
      <c r="G13" s="62"/>
      <c r="H13" s="62"/>
      <c r="I13" s="62"/>
      <c r="J13" s="62"/>
      <c r="K13" s="62"/>
      <c r="L13" s="62"/>
      <c r="M13" s="62"/>
      <c r="N13" s="62"/>
      <c r="O13" s="62"/>
      <c r="P13" s="62"/>
      <c r="Q13" s="62"/>
    </row>
    <row r="14" spans="1:17">
      <c r="A14" s="226" t="s">
        <v>1403</v>
      </c>
      <c r="B14" s="229"/>
      <c r="C14" s="229"/>
      <c r="D14" s="229"/>
      <c r="E14" s="229"/>
      <c r="F14" s="229"/>
      <c r="G14" s="62"/>
      <c r="H14" s="62"/>
      <c r="I14" s="62"/>
      <c r="J14" s="62"/>
      <c r="K14" s="62"/>
      <c r="L14" s="62"/>
      <c r="M14" s="62"/>
      <c r="N14" s="62"/>
      <c r="O14" s="62"/>
      <c r="P14" s="62"/>
      <c r="Q14" s="62"/>
    </row>
    <row r="15" spans="1:17" ht="27.5" customHeight="1">
      <c r="A15" s="63" t="s">
        <v>1404</v>
      </c>
      <c r="B15" s="63" t="s">
        <v>1405</v>
      </c>
      <c r="C15" s="63" t="s">
        <v>1406</v>
      </c>
      <c r="D15" s="63" t="s">
        <v>1407</v>
      </c>
      <c r="E15" s="63" t="s">
        <v>1408</v>
      </c>
      <c r="F15" s="63" t="s">
        <v>1409</v>
      </c>
      <c r="G15" s="62"/>
      <c r="H15" s="62"/>
      <c r="I15" s="62"/>
      <c r="J15" s="62"/>
      <c r="K15" s="62"/>
      <c r="L15" s="62"/>
      <c r="M15" s="62"/>
      <c r="N15" s="62"/>
      <c r="O15" s="62"/>
      <c r="P15" s="62"/>
      <c r="Q15" s="62"/>
    </row>
    <row r="16" spans="1:17" ht="36">
      <c r="A16" s="62" t="s">
        <v>1410</v>
      </c>
      <c r="B16" s="62" t="s">
        <v>1411</v>
      </c>
      <c r="C16" s="62" t="s">
        <v>1412</v>
      </c>
      <c r="D16" s="62" t="s">
        <v>1413</v>
      </c>
      <c r="E16" s="62" t="s">
        <v>1414</v>
      </c>
      <c r="F16" s="104" t="s">
        <v>1415</v>
      </c>
      <c r="G16" s="62"/>
      <c r="H16" s="62"/>
      <c r="I16" s="62"/>
      <c r="J16" s="62"/>
      <c r="K16" s="62"/>
      <c r="L16" s="62"/>
      <c r="M16" s="62"/>
      <c r="N16" s="62"/>
      <c r="O16" s="62"/>
      <c r="P16" s="62"/>
      <c r="Q16" s="62"/>
    </row>
    <row r="17" spans="1:17" ht="36">
      <c r="A17" s="62" t="s">
        <v>1416</v>
      </c>
      <c r="B17" s="62" t="s">
        <v>1417</v>
      </c>
      <c r="C17" s="62" t="s">
        <v>1418</v>
      </c>
      <c r="D17" s="62" t="s">
        <v>1419</v>
      </c>
      <c r="E17" s="62" t="s">
        <v>1420</v>
      </c>
      <c r="F17" s="62" t="s">
        <v>1421</v>
      </c>
      <c r="G17" s="62"/>
      <c r="H17" s="62"/>
      <c r="I17" s="62"/>
      <c r="J17" s="62"/>
      <c r="K17" s="62"/>
      <c r="L17" s="62"/>
      <c r="M17" s="62"/>
      <c r="N17" s="62"/>
      <c r="O17" s="62"/>
      <c r="P17" s="62"/>
      <c r="Q17" s="62"/>
    </row>
    <row r="18" spans="1:17" ht="36">
      <c r="A18" s="62" t="s">
        <v>1422</v>
      </c>
      <c r="B18" s="62" t="s">
        <v>1423</v>
      </c>
      <c r="C18" s="62" t="s">
        <v>1424</v>
      </c>
      <c r="D18" s="62" t="s">
        <v>1425</v>
      </c>
      <c r="E18" s="62" t="s">
        <v>1426</v>
      </c>
      <c r="F18" s="62" t="s">
        <v>1427</v>
      </c>
      <c r="G18" s="62"/>
      <c r="H18" s="62"/>
      <c r="I18" s="62"/>
      <c r="J18" s="62"/>
      <c r="K18" s="62"/>
      <c r="L18" s="62"/>
      <c r="M18" s="62"/>
      <c r="N18" s="62"/>
      <c r="O18" s="62"/>
      <c r="P18" s="62"/>
      <c r="Q18" s="62"/>
    </row>
    <row r="19" spans="1:17" ht="36">
      <c r="A19" s="62" t="s">
        <v>1428</v>
      </c>
      <c r="B19" s="62" t="s">
        <v>1429</v>
      </c>
      <c r="C19" s="62" t="s">
        <v>1430</v>
      </c>
      <c r="D19" s="62" t="s">
        <v>1431</v>
      </c>
      <c r="E19" s="62" t="s">
        <v>1432</v>
      </c>
      <c r="F19" s="62" t="s">
        <v>1433</v>
      </c>
      <c r="G19" s="62"/>
      <c r="H19" s="62"/>
      <c r="I19" s="62"/>
      <c r="J19" s="62"/>
      <c r="K19" s="62"/>
      <c r="L19" s="62"/>
      <c r="M19" s="62"/>
      <c r="N19" s="62"/>
      <c r="O19" s="62"/>
      <c r="P19" s="62"/>
      <c r="Q19" s="62"/>
    </row>
    <row r="20" spans="1:17" ht="48">
      <c r="A20" s="62" t="s">
        <v>1434</v>
      </c>
      <c r="B20" s="62" t="s">
        <v>1435</v>
      </c>
      <c r="C20" s="62" t="s">
        <v>1436</v>
      </c>
      <c r="D20" s="62" t="s">
        <v>1437</v>
      </c>
      <c r="E20" s="62" t="s">
        <v>1438</v>
      </c>
      <c r="F20" s="62" t="s">
        <v>1439</v>
      </c>
      <c r="G20" s="62"/>
      <c r="H20" s="62"/>
      <c r="I20" s="62"/>
      <c r="J20" s="62"/>
      <c r="K20" s="62"/>
      <c r="L20" s="62"/>
      <c r="M20" s="62"/>
      <c r="N20" s="62"/>
      <c r="O20" s="62"/>
      <c r="P20" s="62"/>
      <c r="Q20" s="62"/>
    </row>
    <row r="21" spans="1:17" ht="36">
      <c r="A21" s="62" t="s">
        <v>1440</v>
      </c>
      <c r="B21" s="62" t="s">
        <v>1441</v>
      </c>
      <c r="C21" s="62" t="s">
        <v>1442</v>
      </c>
      <c r="D21" s="62" t="s">
        <v>1443</v>
      </c>
      <c r="E21" s="62" t="s">
        <v>1444</v>
      </c>
      <c r="F21" s="62" t="s">
        <v>1445</v>
      </c>
      <c r="G21" s="62"/>
      <c r="H21" s="62"/>
      <c r="I21" s="62"/>
      <c r="J21" s="62"/>
      <c r="K21" s="62"/>
      <c r="L21" s="62"/>
      <c r="M21" s="62"/>
      <c r="N21" s="62"/>
      <c r="O21" s="62"/>
      <c r="P21" s="62"/>
      <c r="Q21" s="62"/>
    </row>
    <row r="22" spans="1:17">
      <c r="A22" s="62"/>
      <c r="B22" s="62"/>
      <c r="C22" s="62"/>
      <c r="D22" s="62"/>
      <c r="E22" s="62"/>
      <c r="F22" s="62"/>
      <c r="G22" s="62"/>
      <c r="H22" s="62"/>
      <c r="I22" s="62"/>
      <c r="J22" s="62"/>
      <c r="K22" s="62"/>
      <c r="L22" s="62"/>
      <c r="M22" s="62"/>
      <c r="N22" s="62"/>
      <c r="O22" s="62"/>
      <c r="P22" s="62"/>
      <c r="Q22" s="62"/>
    </row>
    <row r="23" spans="1:17">
      <c r="A23" s="62"/>
      <c r="B23" s="62"/>
      <c r="C23" s="62"/>
      <c r="D23" s="62"/>
      <c r="E23" s="62"/>
      <c r="F23" s="62"/>
      <c r="G23" s="62"/>
      <c r="H23" s="62"/>
      <c r="I23" s="62"/>
      <c r="J23" s="62"/>
      <c r="K23" s="62"/>
      <c r="L23" s="62"/>
      <c r="M23" s="62"/>
      <c r="N23" s="62"/>
      <c r="O23" s="62"/>
      <c r="P23" s="62"/>
      <c r="Q23" s="62"/>
    </row>
    <row r="24" spans="1:17">
      <c r="A24" s="226" t="s">
        <v>1446</v>
      </c>
      <c r="B24" s="226"/>
      <c r="C24" s="226"/>
      <c r="D24" s="226"/>
      <c r="E24" s="226"/>
      <c r="F24" s="226"/>
      <c r="G24" s="226"/>
      <c r="H24" s="226"/>
      <c r="I24" s="226"/>
      <c r="J24" s="226"/>
      <c r="K24" s="226"/>
      <c r="L24" s="226"/>
      <c r="M24" s="226"/>
      <c r="N24" s="226"/>
      <c r="O24" s="226"/>
      <c r="P24" s="226"/>
      <c r="Q24" s="226"/>
    </row>
    <row r="25" spans="1:17" ht="16" customHeight="1">
      <c r="A25" s="63" t="s">
        <v>1447</v>
      </c>
      <c r="B25" s="63" t="s">
        <v>1448</v>
      </c>
      <c r="C25" s="63" t="s">
        <v>1449</v>
      </c>
      <c r="D25" s="63" t="s">
        <v>1450</v>
      </c>
      <c r="E25" s="63" t="s">
        <v>1451</v>
      </c>
      <c r="F25" s="63" t="s">
        <v>1452</v>
      </c>
      <c r="G25" s="63" t="s">
        <v>305</v>
      </c>
      <c r="H25" s="63" t="s">
        <v>1453</v>
      </c>
      <c r="I25" s="63" t="s">
        <v>1454</v>
      </c>
      <c r="J25" s="63" t="s">
        <v>1455</v>
      </c>
      <c r="K25" s="63" t="s">
        <v>1456</v>
      </c>
      <c r="L25" s="63" t="s">
        <v>1457</v>
      </c>
      <c r="M25" s="63" t="s">
        <v>1458</v>
      </c>
      <c r="N25" s="63" t="s">
        <v>1459</v>
      </c>
      <c r="O25" s="63" t="s">
        <v>1460</v>
      </c>
      <c r="P25" s="63" t="s">
        <v>1461</v>
      </c>
      <c r="Q25" s="63" t="s">
        <v>1462</v>
      </c>
    </row>
    <row r="26" spans="1:17" ht="24">
      <c r="A26" s="62" t="s">
        <v>1463</v>
      </c>
      <c r="B26" s="64" t="s">
        <v>1464</v>
      </c>
      <c r="C26" s="62" t="s">
        <v>1465</v>
      </c>
      <c r="D26" s="62" t="s">
        <v>1466</v>
      </c>
      <c r="E26" s="62" t="s">
        <v>1467</v>
      </c>
      <c r="F26" s="68">
        <f>COUNTA(OSHA!$B$4:$B$29)</f>
        <v>26</v>
      </c>
      <c r="G26" s="68">
        <f>COUNTIF(OSHA!$C$4:$C$29,"Applicable")</f>
        <v>20</v>
      </c>
      <c r="H26" s="68">
        <f>COUNTIF(OSHA!$C$4:$C$29,"Not Applicable")+COUNTIF(OSHA!$C$4:$C$29,"NA")+COUNTIF(OSHA!$F$4:$F$29,"NA")</f>
        <v>12</v>
      </c>
      <c r="I26" s="68">
        <f>COUNTIFS(OSHA!$C$4:$C$29,"Applicable",OSHA!$F$4:$F$29,"Comply")+COUNTIFS(OSHA!$C$4:$C$29,"Applicable",OSHA!$F$4:$F$29,"Compliant")+COUNTIFS(OSHA!$C$4:$C$29,"Applicable",OSHA!$F$4:$F$29,"Yes")</f>
        <v>20</v>
      </c>
      <c r="J26" s="68">
        <f>COUNTIFS(OSHA!$C$4:$C$29,"Applicable",OSHA!$F$4:$F$29,"Not Comply")+COUNTIFS(OSHA!$C$4:$C$29,"Applicable",OSHA!$F$4:$F$29,"Non-Comply")+COUNTIFS(OSHA!$C$4:$C$29,"Applicable",OSHA!$F$4:$F$29,"Non Comply")+COUNTIFS(OSHA!$C$4:$C$29,"Applicable",OSHA!$F$4:$F$29,"No")</f>
        <v>0</v>
      </c>
      <c r="K26" s="68">
        <f t="shared" ref="K26:K52" si="0">MAX(0,G26-I26-J26)</f>
        <v>0</v>
      </c>
      <c r="L26" s="69">
        <f t="shared" ref="L26:L53" si="1">IF(G26=0,0,I26/G26)</f>
        <v>1</v>
      </c>
      <c r="M26" s="69">
        <f t="shared" ref="M26:M53" si="2">IF(G26=0,0,(I26+J26)/G26)</f>
        <v>1</v>
      </c>
      <c r="N26" s="62" t="str">
        <f t="shared" ref="N26:N53" si="3">IF(J26&gt;0,"Action Required",IF(K26&gt;0,"Pending Evaluation",IF(L26&gt;=$C$11,"Maintain Compliance","Improve Compliance")))</f>
        <v>Maintain Compliance</v>
      </c>
      <c r="O26" s="70">
        <f t="shared" ref="O26:O52" si="4">IF(G26=0,-ROW()/1000,J26*1000+K26*100+(1-L26)*10+ROW()/1000)</f>
        <v>2.5999999999999999E-2</v>
      </c>
      <c r="P26" s="62" t="str">
        <f t="shared" ref="P26:P53" si="5">CONCATENATE(A26," - ",N26)</f>
        <v>OSHA - Maintain Compliance</v>
      </c>
      <c r="Q26" s="62" t="s">
        <v>1468</v>
      </c>
    </row>
    <row r="27" spans="1:17" ht="24">
      <c r="A27" s="62" t="s">
        <v>1469</v>
      </c>
      <c r="B27" s="64" t="s">
        <v>1464</v>
      </c>
      <c r="C27" s="62" t="s">
        <v>1470</v>
      </c>
      <c r="D27" s="62" t="s">
        <v>1471</v>
      </c>
      <c r="E27" s="62" t="s">
        <v>1472</v>
      </c>
      <c r="F27" s="68">
        <f>COUNTA(MHA!$B$4:$B$7)</f>
        <v>4</v>
      </c>
      <c r="G27" s="68">
        <f>COUNTIF(MHA!$C$4:$C$7,"Applicable")</f>
        <v>0</v>
      </c>
      <c r="H27" s="68">
        <f>COUNTIF(MHA!$C$4:$C$7,"Not Applicable")+COUNTIF(MHA!$C$4:$C$7,"NA")+COUNTIF(MHA!$F$4:$F$7,"NA")</f>
        <v>8</v>
      </c>
      <c r="I27" s="68">
        <f>COUNTIFS(MHA!$C$4:$C$7,"Applicable",MHA!$F$4:$F$7,"Comply")+COUNTIFS(MHA!$C$4:$C$7,"Applicable",MHA!$F$4:$F$7,"Compliant")+COUNTIFS(MHA!$C$4:$C$7,"Applicable",MHA!$F$4:$F$7,"Yes")</f>
        <v>0</v>
      </c>
      <c r="J27" s="68">
        <f>COUNTIFS(MHA!$C$4:$C$7,"Applicable",MHA!$F$4:$F$7,"Not Comply")+COUNTIFS(MHA!$C$4:$C$7,"Applicable",MHA!$F$4:$F$7,"Non-Comply")+COUNTIFS(MHA!$C$4:$C$7,"Applicable",MHA!$F$4:$F$7,"Non Comply")+COUNTIFS(MHA!$C$4:$C$7,"Applicable",MHA!$F$4:$F$7,"No")</f>
        <v>0</v>
      </c>
      <c r="K27" s="68">
        <f t="shared" si="0"/>
        <v>0</v>
      </c>
      <c r="L27" s="69">
        <f t="shared" si="1"/>
        <v>0</v>
      </c>
      <c r="M27" s="69">
        <f t="shared" si="2"/>
        <v>0</v>
      </c>
      <c r="N27" s="62" t="str">
        <f t="shared" si="3"/>
        <v>Improve Compliance</v>
      </c>
      <c r="O27" s="70">
        <f t="shared" si="4"/>
        <v>-2.7E-2</v>
      </c>
      <c r="P27" s="62" t="str">
        <f t="shared" si="5"/>
        <v>MHA - Improve Compliance</v>
      </c>
      <c r="Q27" s="62" t="s">
        <v>1468</v>
      </c>
    </row>
    <row r="28" spans="1:17" ht="24">
      <c r="A28" s="62" t="s">
        <v>1473</v>
      </c>
      <c r="B28" s="64" t="s">
        <v>1474</v>
      </c>
      <c r="C28" s="62" t="s">
        <v>1475</v>
      </c>
      <c r="D28" s="62" t="s">
        <v>1476</v>
      </c>
      <c r="E28" s="62" t="s">
        <v>1477</v>
      </c>
      <c r="F28" s="68">
        <f>COUNTA('diesel engine'!$B$4:$B$16)</f>
        <v>13</v>
      </c>
      <c r="G28" s="68">
        <f>COUNTIF('diesel engine'!$C$4:$C$16,"Applicable")</f>
        <v>0</v>
      </c>
      <c r="H28" s="68">
        <f>COUNTIF('diesel engine'!$C$4:$C$16,"Not Applicable")+COUNTIF('diesel engine'!$C$4:$C$16,"NA")+COUNTIF('diesel engine'!$F$4:$F$16,"NA")</f>
        <v>26</v>
      </c>
      <c r="I28" s="68">
        <f>COUNTIFS('diesel engine'!$C$4:$C$16,"Applicable",'diesel engine'!$F$4:$F$16,"Comply")+COUNTIFS('diesel engine'!$C$4:$C$16,"Applicable",'diesel engine'!$F$4:$F$16,"Compliant")+COUNTIFS('diesel engine'!$C$4:$C$16,"Applicable",'diesel engine'!$F$4:$F$16,"Yes")</f>
        <v>0</v>
      </c>
      <c r="J28" s="68">
        <f>COUNTIFS('diesel engine'!$C$4:$C$16,"Applicable",'diesel engine'!$F$4:$F$16,"Not Comply")+COUNTIFS('diesel engine'!$C$4:$C$16,"Applicable",'diesel engine'!$F$4:$F$16,"Non-Comply")+COUNTIFS('diesel engine'!$C$4:$C$16,"Applicable",'diesel engine'!$F$4:$F$16,"Non Comply")+COUNTIFS('diesel engine'!$C$4:$C$16,"Applicable",'diesel engine'!$F$4:$F$16,"No")</f>
        <v>0</v>
      </c>
      <c r="K28" s="68">
        <f t="shared" si="0"/>
        <v>0</v>
      </c>
      <c r="L28" s="69">
        <f t="shared" si="1"/>
        <v>0</v>
      </c>
      <c r="M28" s="69">
        <f t="shared" si="2"/>
        <v>0</v>
      </c>
      <c r="N28" s="62" t="str">
        <f t="shared" si="3"/>
        <v>Improve Compliance</v>
      </c>
      <c r="O28" s="70">
        <f t="shared" si="4"/>
        <v>-2.8000000000000001E-2</v>
      </c>
      <c r="P28" s="62" t="str">
        <f t="shared" si="5"/>
        <v>diesel engine - Improve Compliance</v>
      </c>
      <c r="Q28" s="62" t="s">
        <v>1468</v>
      </c>
    </row>
    <row r="29" spans="1:17" ht="24">
      <c r="A29" s="62" t="s">
        <v>1478</v>
      </c>
      <c r="B29" s="64" t="s">
        <v>1474</v>
      </c>
      <c r="C29" s="62" t="s">
        <v>1479</v>
      </c>
      <c r="D29" s="62" t="s">
        <v>1480</v>
      </c>
      <c r="E29" s="62" t="s">
        <v>1481</v>
      </c>
      <c r="F29" s="68">
        <f>COUNTA('solid waste'!$B$4:$B$26)</f>
        <v>23</v>
      </c>
      <c r="G29" s="68">
        <f>COUNTIF('solid waste'!$C$4:$C$26,"Applicable")</f>
        <v>0</v>
      </c>
      <c r="H29" s="68">
        <f>COUNTIF('solid waste'!$C$4:$C$26,"Not Applicable")+COUNTIF('solid waste'!$C$4:$C$26,"NA")+COUNTIF('solid waste'!$F$4:$F$26,"NA")</f>
        <v>46</v>
      </c>
      <c r="I29" s="68">
        <f>COUNTIFS('solid waste'!$C$4:$C$26,"Applicable",'solid waste'!$F$4:$F$26,"Comply")+COUNTIFS('solid waste'!$C$4:$C$26,"Applicable",'solid waste'!$F$4:$F$26,"Compliant")+COUNTIFS('solid waste'!$C$4:$C$26,"Applicable",'solid waste'!$F$4:$F$26,"Yes")</f>
        <v>0</v>
      </c>
      <c r="J29" s="68">
        <f>COUNTIFS('solid waste'!$C$4:$C$26,"Applicable",'solid waste'!$F$4:$F$26,"Not Comply")+COUNTIFS('solid waste'!$C$4:$C$26,"Applicable",'solid waste'!$F$4:$F$26,"Non-Comply")+COUNTIFS('solid waste'!$C$4:$C$26,"Applicable",'solid waste'!$F$4:$F$26,"Non Comply")+COUNTIFS('solid waste'!$C$4:$C$26,"Applicable",'solid waste'!$F$4:$F$26,"No")</f>
        <v>0</v>
      </c>
      <c r="K29" s="68">
        <f t="shared" si="0"/>
        <v>0</v>
      </c>
      <c r="L29" s="69">
        <f t="shared" si="1"/>
        <v>0</v>
      </c>
      <c r="M29" s="69">
        <f t="shared" si="2"/>
        <v>0</v>
      </c>
      <c r="N29" s="62" t="str">
        <f t="shared" si="3"/>
        <v>Improve Compliance</v>
      </c>
      <c r="O29" s="70">
        <f t="shared" si="4"/>
        <v>-2.9000000000000001E-2</v>
      </c>
      <c r="P29" s="62" t="str">
        <f t="shared" si="5"/>
        <v>solid waste - Improve Compliance</v>
      </c>
      <c r="Q29" s="62" t="s">
        <v>1468</v>
      </c>
    </row>
    <row r="30" spans="1:17" ht="24">
      <c r="A30" s="62" t="s">
        <v>1482</v>
      </c>
      <c r="B30" s="64" t="s">
        <v>1474</v>
      </c>
      <c r="C30" s="62" t="s">
        <v>1483</v>
      </c>
      <c r="D30" s="62" t="s">
        <v>1484</v>
      </c>
      <c r="E30" s="62" t="s">
        <v>1485</v>
      </c>
      <c r="F30" s="68">
        <f>COUNTA('Control of Petrol &amp; Diesel'!$B$4:$B$16)</f>
        <v>13</v>
      </c>
      <c r="G30" s="68">
        <f>COUNTIF('Control of Petrol &amp; Diesel'!$C$4:$C$16,"Applicable")</f>
        <v>0</v>
      </c>
      <c r="H30" s="68">
        <f>COUNTIF('Control of Petrol &amp; Diesel'!$C$4:$C$16,"Not Applicable")+COUNTIF('Control of Petrol &amp; Diesel'!$C$4:$C$16,"NA")+COUNTIF('Control of Petrol &amp; Diesel'!$F$4:$F$16,"NA")</f>
        <v>26</v>
      </c>
      <c r="I30" s="68">
        <f>COUNTIFS('Control of Petrol &amp; Diesel'!$C$4:$C$16,"Applicable",'Control of Petrol &amp; Diesel'!$F$4:$F$16,"Comply")+COUNTIFS('Control of Petrol &amp; Diesel'!$C$4:$C$16,"Applicable",'Control of Petrol &amp; Diesel'!$F$4:$F$16,"Compliant")+COUNTIFS('Control of Petrol &amp; Diesel'!$C$4:$C$16,"Applicable",'Control of Petrol &amp; Diesel'!$F$4:$F$16,"Yes")</f>
        <v>0</v>
      </c>
      <c r="J30" s="68">
        <f>COUNTIFS('Control of Petrol &amp; Diesel'!$C$4:$C$16,"Applicable",'Control of Petrol &amp; Diesel'!$F$4:$F$16,"Not Comply")+COUNTIFS('Control of Petrol &amp; Diesel'!$C$4:$C$16,"Applicable",'Control of Petrol &amp; Diesel'!$F$4:$F$16,"Non-Comply")+COUNTIFS('Control of Petrol &amp; Diesel'!$C$4:$C$16,"Applicable",'Control of Petrol &amp; Diesel'!$F$4:$F$16,"Non Comply")+COUNTIFS('Control of Petrol &amp; Diesel'!$C$4:$C$16,"Applicable",'Control of Petrol &amp; Diesel'!$F$4:$F$16,"No")</f>
        <v>0</v>
      </c>
      <c r="K30" s="68">
        <f t="shared" si="0"/>
        <v>0</v>
      </c>
      <c r="L30" s="69">
        <f t="shared" si="1"/>
        <v>0</v>
      </c>
      <c r="M30" s="69">
        <f t="shared" si="2"/>
        <v>0</v>
      </c>
      <c r="N30" s="62" t="str">
        <f t="shared" si="3"/>
        <v>Improve Compliance</v>
      </c>
      <c r="O30" s="70">
        <f t="shared" si="4"/>
        <v>-0.03</v>
      </c>
      <c r="P30" s="62" t="str">
        <f t="shared" si="5"/>
        <v>Control of Petrol &amp; Diesel - Improve Compliance</v>
      </c>
      <c r="Q30" s="62" t="s">
        <v>1468</v>
      </c>
    </row>
    <row r="31" spans="1:17" ht="24">
      <c r="A31" s="62" t="s">
        <v>1486</v>
      </c>
      <c r="B31" s="64" t="s">
        <v>1474</v>
      </c>
      <c r="C31" s="62" t="s">
        <v>1487</v>
      </c>
      <c r="D31" s="62" t="s">
        <v>1488</v>
      </c>
      <c r="E31" s="62" t="s">
        <v>1489</v>
      </c>
      <c r="F31" s="68">
        <f>COUNTA(effluent!$B$4:$B$26)</f>
        <v>23</v>
      </c>
      <c r="G31" s="68">
        <f>COUNTIF(effluent!$C$4:$C$26,"Applicable")</f>
        <v>0</v>
      </c>
      <c r="H31" s="68">
        <f>COUNTIF(effluent!$C$4:$C$26,"Not Applicable")+COUNTIF(effluent!$C$4:$C$26,"NA")+COUNTIF(effluent!$F$4:$F$26,"NA")</f>
        <v>46</v>
      </c>
      <c r="I31" s="68">
        <f>COUNTIFS(effluent!$C$4:$C$26,"Applicable",effluent!$F$4:$F$26,"Comply")+COUNTIFS(effluent!$C$4:$C$26,"Applicable",effluent!$F$4:$F$26,"Compliant")+COUNTIFS(effluent!$C$4:$C$26,"Applicable",effluent!$F$4:$F$26,"Yes")</f>
        <v>0</v>
      </c>
      <c r="J31" s="68">
        <f>COUNTIFS(effluent!$C$4:$C$26,"Applicable",effluent!$F$4:$F$26,"Not Comply")+COUNTIFS(effluent!$C$4:$C$26,"Applicable",effluent!$F$4:$F$26,"Non-Comply")+COUNTIFS(effluent!$C$4:$C$26,"Applicable",effluent!$F$4:$F$26,"Non Comply")+COUNTIFS(effluent!$C$4:$C$26,"Applicable",effluent!$F$4:$F$26,"No")</f>
        <v>0</v>
      </c>
      <c r="K31" s="68">
        <f t="shared" si="0"/>
        <v>0</v>
      </c>
      <c r="L31" s="69">
        <f t="shared" si="1"/>
        <v>0</v>
      </c>
      <c r="M31" s="69">
        <f t="shared" si="2"/>
        <v>0</v>
      </c>
      <c r="N31" s="62" t="str">
        <f t="shared" si="3"/>
        <v>Improve Compliance</v>
      </c>
      <c r="O31" s="70">
        <f t="shared" si="4"/>
        <v>-3.1E-2</v>
      </c>
      <c r="P31" s="62" t="str">
        <f t="shared" si="5"/>
        <v>effluent - Improve Compliance</v>
      </c>
      <c r="Q31" s="62" t="s">
        <v>1468</v>
      </c>
    </row>
    <row r="32" spans="1:17" ht="24">
      <c r="A32" s="62" t="s">
        <v>1778</v>
      </c>
      <c r="B32" s="64" t="s">
        <v>1474</v>
      </c>
      <c r="C32" s="62" t="s">
        <v>1490</v>
      </c>
      <c r="D32" s="62" t="s">
        <v>1491</v>
      </c>
      <c r="E32" s="62" t="s">
        <v>1492</v>
      </c>
      <c r="F32" s="68">
        <f>COUNTA('clean air'!$B$4:$B$27)</f>
        <v>24</v>
      </c>
      <c r="G32" s="68">
        <f>COUNTIF('clean air'!$C$4:$C$27,"Applicable")</f>
        <v>0</v>
      </c>
      <c r="H32" s="68">
        <f>COUNTIF('clean air'!$C$4:$C$27,"Not Applicable")+COUNTIF('clean air'!$C$4:$C$27,"NA")+COUNTIF('clean air'!$F$4:$F$27,"NA")</f>
        <v>48</v>
      </c>
      <c r="I32" s="68">
        <f>COUNTIFS('clean air'!$C$4:$C$27,"Applicable",'clean air'!$F$4:$F$27,"Comply")+COUNTIFS('clean air'!$C$4:$C$27,"Applicable",'clean air'!$F$4:$F$27,"Compliant")+COUNTIFS('clean air'!$C$4:$C$27,"Applicable",'clean air'!$F$4:$F$27,"Yes")</f>
        <v>0</v>
      </c>
      <c r="J32" s="68">
        <f>COUNTIFS('clean air'!$C$4:$C$27,"Applicable",'clean air'!$F$4:$F$27,"Not Comply")+COUNTIFS('clean air'!$C$4:$C$27,"Applicable",'clean air'!$F$4:$F$27,"Non-Comply")+COUNTIFS('clean air'!$C$4:$C$27,"Applicable",'clean air'!$F$4:$F$27,"Non Comply")+COUNTIFS('clean air'!$C$4:$C$27,"Applicable",'clean air'!$F$4:$F$27,"No")</f>
        <v>0</v>
      </c>
      <c r="K32" s="68">
        <f t="shared" si="0"/>
        <v>0</v>
      </c>
      <c r="L32" s="69">
        <f t="shared" si="1"/>
        <v>0</v>
      </c>
      <c r="M32" s="69">
        <f t="shared" si="2"/>
        <v>0</v>
      </c>
      <c r="N32" s="62" t="str">
        <f t="shared" si="3"/>
        <v>Improve Compliance</v>
      </c>
      <c r="O32" s="70">
        <f t="shared" si="4"/>
        <v>-3.2000000000000001E-2</v>
      </c>
      <c r="P32" s="62" t="str">
        <f t="shared" si="5"/>
        <v>Clean Air Reg - Improve Compliance</v>
      </c>
      <c r="Q32" s="62" t="s">
        <v>1468</v>
      </c>
    </row>
    <row r="33" spans="1:17" ht="24">
      <c r="A33" s="62" t="s">
        <v>1779</v>
      </c>
      <c r="B33" s="64" t="s">
        <v>1464</v>
      </c>
      <c r="C33" s="62" t="s">
        <v>1493</v>
      </c>
      <c r="D33" s="62" t="s">
        <v>1494</v>
      </c>
      <c r="E33" s="62" t="s">
        <v>1495</v>
      </c>
      <c r="F33" s="68">
        <f>COUNTA(CF!$B$4:$B$22)</f>
        <v>19</v>
      </c>
      <c r="G33" s="68">
        <f>COUNTIF(CF!$C$4:$C$22,"Applicable")</f>
        <v>0</v>
      </c>
      <c r="H33" s="68">
        <f>COUNTIF(CF!$C$4:$C$22,"Not Applicable")+COUNTIF(CF!$C$4:$C$22,"NA")+COUNTIF(CF!$F$4:$F$22,"NA")</f>
        <v>38</v>
      </c>
      <c r="I33" s="68">
        <f>COUNTIFS(CF!$C$4:$C$22,"Applicable",CF!$F$4:$F$22,"Comply")+COUNTIFS(CF!$C$4:$C$22,"Applicable",CF!$F$4:$F$22,"Compliant")+COUNTIFS(CF!$C$4:$C$22,"Applicable",CF!$F$4:$F$22,"Yes")</f>
        <v>0</v>
      </c>
      <c r="J33" s="68">
        <f>COUNTIFS(CF!$C$4:$C$22,"Applicable",CF!$F$4:$F$22,"Not Comply")+COUNTIFS(CF!$C$4:$C$22,"Applicable",CF!$F$4:$F$22,"Non-Comply")+COUNTIFS(CF!$C$4:$C$22,"Applicable",CF!$F$4:$F$22,"Non Comply")+COUNTIFS(CF!$C$4:$C$22,"Applicable",CF!$F$4:$F$22,"No")</f>
        <v>0</v>
      </c>
      <c r="K33" s="68">
        <f t="shared" si="0"/>
        <v>0</v>
      </c>
      <c r="L33" s="69">
        <f t="shared" si="1"/>
        <v>0</v>
      </c>
      <c r="M33" s="69">
        <f t="shared" si="2"/>
        <v>0</v>
      </c>
      <c r="N33" s="62" t="str">
        <f t="shared" si="3"/>
        <v>Improve Compliance</v>
      </c>
      <c r="O33" s="70">
        <f t="shared" si="4"/>
        <v>-3.3000000000000002E-2</v>
      </c>
      <c r="P33" s="62" t="str">
        <f t="shared" si="5"/>
        <v>CF Reg - Improve Compliance</v>
      </c>
      <c r="Q33" s="62" t="s">
        <v>1468</v>
      </c>
    </row>
    <row r="34" spans="1:17" ht="24">
      <c r="A34" s="62" t="s">
        <v>1496</v>
      </c>
      <c r="B34" s="64" t="s">
        <v>1474</v>
      </c>
      <c r="C34" s="62" t="s">
        <v>1497</v>
      </c>
      <c r="D34" s="62" t="s">
        <v>1498</v>
      </c>
      <c r="E34" s="62" t="s">
        <v>1499</v>
      </c>
      <c r="F34" s="68">
        <f>COUNTA(SW!$B$4:$B$18)</f>
        <v>15</v>
      </c>
      <c r="G34" s="68">
        <f>COUNTIF(SW!$C$4:$C$18,"Applicable")</f>
        <v>0</v>
      </c>
      <c r="H34" s="68">
        <f>COUNTIF(SW!$C$4:$C$18,"Not Applicable")+COUNTIF(SW!$C$4:$C$18,"NA")+COUNTIF(SW!$F$4:$F$18,"NA")</f>
        <v>30</v>
      </c>
      <c r="I34" s="68">
        <f>COUNTIFS(SW!$C$4:$C$18,"Applicable",SW!$F$4:$F$18,"Comply")+COUNTIFS(SW!$C$4:$C$18,"Applicable",SW!$F$4:$F$18,"Compliant")+COUNTIFS(SW!$C$4:$C$18,"Applicable",SW!$F$4:$F$18,"Yes")</f>
        <v>0</v>
      </c>
      <c r="J34" s="68">
        <f>COUNTIFS(SW!$C$4:$C$18,"Applicable",SW!$F$4:$F$18,"Not Comply")+COUNTIFS(SW!$C$4:$C$18,"Applicable",SW!$F$4:$F$18,"Non-Comply")+COUNTIFS(SW!$C$4:$C$18,"Applicable",SW!$F$4:$F$18,"Non Comply")+COUNTIFS(SW!$C$4:$C$18,"Applicable",SW!$F$4:$F$18,"No")</f>
        <v>0</v>
      </c>
      <c r="K34" s="68">
        <f t="shared" si="0"/>
        <v>0</v>
      </c>
      <c r="L34" s="69">
        <f t="shared" si="1"/>
        <v>0</v>
      </c>
      <c r="M34" s="69">
        <f t="shared" si="2"/>
        <v>0</v>
      </c>
      <c r="N34" s="62" t="str">
        <f t="shared" si="3"/>
        <v>Improve Compliance</v>
      </c>
      <c r="O34" s="70">
        <f t="shared" si="4"/>
        <v>-3.4000000000000002E-2</v>
      </c>
      <c r="P34" s="62" t="str">
        <f t="shared" si="5"/>
        <v>SW - Improve Compliance</v>
      </c>
      <c r="Q34" s="62" t="s">
        <v>1468</v>
      </c>
    </row>
    <row r="35" spans="1:17" ht="24">
      <c r="A35" s="62" t="s">
        <v>1500</v>
      </c>
      <c r="B35" s="64" t="s">
        <v>1501</v>
      </c>
      <c r="C35" s="62" t="s">
        <v>1502</v>
      </c>
      <c r="D35" s="62" t="s">
        <v>1503</v>
      </c>
      <c r="E35" s="62" t="s">
        <v>1504</v>
      </c>
      <c r="F35" s="68">
        <f>COUNTA(WSIA!$B$4:$B$37)</f>
        <v>34</v>
      </c>
      <c r="G35" s="68">
        <f>COUNTIF(WSIA!$C$4:$C$37,"Applicable")</f>
        <v>0</v>
      </c>
      <c r="H35" s="68">
        <f>COUNTIF(WSIA!$C$4:$C$37,"Not Applicable")+COUNTIF(WSIA!$C$4:$C$37,"NA")+COUNTIF(WSIA!$F$4:$F$37,"NA")</f>
        <v>68</v>
      </c>
      <c r="I35" s="68">
        <f>COUNTIFS(WSIA!$C$4:$C$37,"Applicable",WSIA!$F$4:$F$37,"Comply")+COUNTIFS(WSIA!$C$4:$C$37,"Applicable",WSIA!$F$4:$F$37,"Compliant")+COUNTIFS(WSIA!$C$4:$C$37,"Applicable",WSIA!$F$4:$F$37,"Yes")</f>
        <v>0</v>
      </c>
      <c r="J35" s="68">
        <f>COUNTIFS(WSIA!$C$4:$C$37,"Applicable",WSIA!$F$4:$F$37,"Not Comply")+COUNTIFS(WSIA!$C$4:$C$37,"Applicable",WSIA!$F$4:$F$37,"Non-Comply")+COUNTIFS(WSIA!$C$4:$C$37,"Applicable",WSIA!$F$4:$F$37,"Non Comply")+COUNTIFS(WSIA!$C$4:$C$37,"Applicable",WSIA!$F$4:$F$37,"No")</f>
        <v>0</v>
      </c>
      <c r="K35" s="68">
        <f t="shared" si="0"/>
        <v>0</v>
      </c>
      <c r="L35" s="69">
        <f t="shared" si="1"/>
        <v>0</v>
      </c>
      <c r="M35" s="69">
        <f t="shared" si="2"/>
        <v>0</v>
      </c>
      <c r="N35" s="62" t="str">
        <f t="shared" si="3"/>
        <v>Improve Compliance</v>
      </c>
      <c r="O35" s="70">
        <f t="shared" si="4"/>
        <v>-3.5000000000000003E-2</v>
      </c>
      <c r="P35" s="62" t="str">
        <f t="shared" si="5"/>
        <v>WSIA - Improve Compliance</v>
      </c>
      <c r="Q35" s="62" t="s">
        <v>1468</v>
      </c>
    </row>
    <row r="36" spans="1:17" ht="24">
      <c r="A36" s="62" t="s">
        <v>1505</v>
      </c>
      <c r="B36" s="64" t="s">
        <v>1464</v>
      </c>
      <c r="C36" s="62" t="s">
        <v>1506</v>
      </c>
      <c r="D36" s="62" t="s">
        <v>1507</v>
      </c>
      <c r="E36" s="62" t="s">
        <v>1508</v>
      </c>
      <c r="F36" s="68">
        <f>COUNTA(USECHH!$B$4:$B$31)</f>
        <v>28</v>
      </c>
      <c r="G36" s="68">
        <f>COUNTIF(USECHH!$C$4:$C$31,"Applicable")</f>
        <v>0</v>
      </c>
      <c r="H36" s="68">
        <f>COUNTIF(USECHH!$C$4:$C$31,"Not Applicable")+COUNTIF(USECHH!$C$4:$C$31,"NA")+COUNTIF(USECHH!$F$4:$F$31,"NA")</f>
        <v>56</v>
      </c>
      <c r="I36" s="68">
        <f>COUNTIFS(USECHH!$C$4:$C$31,"Applicable",USECHH!$F$4:$F$31,"Comply")+COUNTIFS(USECHH!$C$4:$C$31,"Applicable",USECHH!$F$4:$F$31,"Compliant")+COUNTIFS(USECHH!$C$4:$C$31,"Applicable",USECHH!$F$4:$F$31,"Yes")</f>
        <v>0</v>
      </c>
      <c r="J36" s="68">
        <f>COUNTIFS(USECHH!$C$4:$C$31,"Applicable",USECHH!$F$4:$F$31,"Not Comply")+COUNTIFS(USECHH!$C$4:$C$31,"Applicable",USECHH!$F$4:$F$31,"Non-Comply")+COUNTIFS(USECHH!$C$4:$C$31,"Applicable",USECHH!$F$4:$F$31,"Non Comply")+COUNTIFS(USECHH!$C$4:$C$31,"Applicable",USECHH!$F$4:$F$31,"No")</f>
        <v>0</v>
      </c>
      <c r="K36" s="68">
        <f t="shared" si="0"/>
        <v>0</v>
      </c>
      <c r="L36" s="69">
        <f t="shared" si="1"/>
        <v>0</v>
      </c>
      <c r="M36" s="69">
        <f t="shared" si="2"/>
        <v>0</v>
      </c>
      <c r="N36" s="62" t="str">
        <f t="shared" si="3"/>
        <v>Improve Compliance</v>
      </c>
      <c r="O36" s="70">
        <f t="shared" si="4"/>
        <v>-3.5999999999999997E-2</v>
      </c>
      <c r="P36" s="62" t="str">
        <f t="shared" si="5"/>
        <v>USECHH - Improve Compliance</v>
      </c>
      <c r="Q36" s="62" t="s">
        <v>1468</v>
      </c>
    </row>
    <row r="37" spans="1:17" ht="24">
      <c r="A37" s="62" t="s">
        <v>1509</v>
      </c>
      <c r="B37" s="64" t="s">
        <v>1464</v>
      </c>
      <c r="C37" s="62" t="s">
        <v>1510</v>
      </c>
      <c r="D37" s="62" t="s">
        <v>1511</v>
      </c>
      <c r="E37" s="62" t="s">
        <v>1512</v>
      </c>
      <c r="F37" s="68">
        <f>COUNTA(CIDB!$B$4:$B$35)</f>
        <v>32</v>
      </c>
      <c r="G37" s="68">
        <f>COUNTIF(CIDB!$C$4:$C$35,"Applicable")</f>
        <v>0</v>
      </c>
      <c r="H37" s="68">
        <f>COUNTIF(CIDB!$C$4:$C$35,"Not Applicable")+COUNTIF(CIDB!$C$4:$C$35,"NA")+COUNTIF(CIDB!$F$4:$F$35,"NA")</f>
        <v>64</v>
      </c>
      <c r="I37" s="68">
        <f>COUNTIFS(CIDB!$C$4:$C$35,"Applicable",CIDB!$F$4:$F$35,"Comply")+COUNTIFS(CIDB!$C$4:$C$35,"Applicable",CIDB!$F$4:$F$35,"Compliant")+COUNTIFS(CIDB!$C$4:$C$35,"Applicable",CIDB!$F$4:$F$35,"Yes")</f>
        <v>0</v>
      </c>
      <c r="J37" s="68">
        <f>COUNTIFS(CIDB!$C$4:$C$35,"Applicable",CIDB!$F$4:$F$35,"Not Comply")+COUNTIFS(CIDB!$C$4:$C$35,"Applicable",CIDB!$F$4:$F$35,"Non-Comply")+COUNTIFS(CIDB!$C$4:$C$35,"Applicable",CIDB!$F$4:$F$35,"Non Comply")+COUNTIFS(CIDB!$C$4:$C$35,"Applicable",CIDB!$F$4:$F$35,"No")</f>
        <v>0</v>
      </c>
      <c r="K37" s="68">
        <f t="shared" si="0"/>
        <v>0</v>
      </c>
      <c r="L37" s="69">
        <f t="shared" si="1"/>
        <v>0</v>
      </c>
      <c r="M37" s="69">
        <f t="shared" si="2"/>
        <v>0</v>
      </c>
      <c r="N37" s="62" t="str">
        <f t="shared" si="3"/>
        <v>Improve Compliance</v>
      </c>
      <c r="O37" s="70">
        <f t="shared" si="4"/>
        <v>-3.6999999999999998E-2</v>
      </c>
      <c r="P37" s="62" t="str">
        <f t="shared" si="5"/>
        <v>CIDB - Improve Compliance</v>
      </c>
      <c r="Q37" s="62" t="s">
        <v>1468</v>
      </c>
    </row>
    <row r="38" spans="1:17" ht="24">
      <c r="A38" s="62" t="s">
        <v>1513</v>
      </c>
      <c r="B38" s="64" t="s">
        <v>1464</v>
      </c>
      <c r="C38" s="62" t="s">
        <v>1514</v>
      </c>
      <c r="D38" s="62" t="s">
        <v>1515</v>
      </c>
      <c r="E38" s="62" t="s">
        <v>1516</v>
      </c>
      <c r="F38" s="68">
        <f>COUNTA('ICOP Transport'!$B$4:$B$26)</f>
        <v>23</v>
      </c>
      <c r="G38" s="68">
        <f>COUNTIF('ICOP Transport'!$C$4:$C$26,"Applicable")</f>
        <v>0</v>
      </c>
      <c r="H38" s="68">
        <f>COUNTIF('ICOP Transport'!$C$4:$C$26,"Not Applicable")+COUNTIF('ICOP Transport'!$C$4:$C$26,"NA")+COUNTIF('ICOP Transport'!$F$4:$F$26,"NA")</f>
        <v>46</v>
      </c>
      <c r="I38" s="68">
        <f>COUNTIFS('ICOP Transport'!$C$4:$C$26,"Applicable",'ICOP Transport'!$F$4:$F$26,"Comply")+COUNTIFS('ICOP Transport'!$C$4:$C$26,"Applicable",'ICOP Transport'!$F$4:$F$26,"Compliant")+COUNTIFS('ICOP Transport'!$C$4:$C$26,"Applicable",'ICOP Transport'!$F$4:$F$26,"Yes")</f>
        <v>0</v>
      </c>
      <c r="J38" s="68">
        <f>COUNTIFS('ICOP Transport'!$C$4:$C$26,"Applicable",'ICOP Transport'!$F$4:$F$26,"Not Comply")+COUNTIFS('ICOP Transport'!$C$4:$C$26,"Applicable",'ICOP Transport'!$F$4:$F$26,"Non-Comply")+COUNTIFS('ICOP Transport'!$C$4:$C$26,"Applicable",'ICOP Transport'!$F$4:$F$26,"Non Comply")+COUNTIFS('ICOP Transport'!$C$4:$C$26,"Applicable",'ICOP Transport'!$F$4:$F$26,"No")</f>
        <v>0</v>
      </c>
      <c r="K38" s="68">
        <f t="shared" si="0"/>
        <v>0</v>
      </c>
      <c r="L38" s="69">
        <f t="shared" si="1"/>
        <v>0</v>
      </c>
      <c r="M38" s="69">
        <f t="shared" si="2"/>
        <v>0</v>
      </c>
      <c r="N38" s="62" t="str">
        <f t="shared" si="3"/>
        <v>Improve Compliance</v>
      </c>
      <c r="O38" s="70">
        <f t="shared" si="4"/>
        <v>-3.7999999999999999E-2</v>
      </c>
      <c r="P38" s="62" t="str">
        <f t="shared" si="5"/>
        <v>ICOP Transport - Improve Compliance</v>
      </c>
      <c r="Q38" s="62" t="s">
        <v>1468</v>
      </c>
    </row>
    <row r="39" spans="1:17" ht="24">
      <c r="A39" s="62" t="s">
        <v>1517</v>
      </c>
      <c r="B39" s="64" t="s">
        <v>1464</v>
      </c>
      <c r="C39" s="62" t="s">
        <v>1518</v>
      </c>
      <c r="D39" s="62" t="s">
        <v>1519</v>
      </c>
      <c r="E39" s="62" t="s">
        <v>1520</v>
      </c>
      <c r="F39" s="68">
        <f>COUNTA('pesticides labelling'!$B$4:$B$23)</f>
        <v>20</v>
      </c>
      <c r="G39" s="68">
        <f>COUNTIF('pesticides labelling'!$C$4:$C$23,"Applicable")</f>
        <v>0</v>
      </c>
      <c r="H39" s="68">
        <f>COUNTIF('pesticides labelling'!$C$4:$C$23,"Not Applicable")+COUNTIF('pesticides labelling'!$C$4:$C$23,"NA")+COUNTIF('pesticides labelling'!$F$4:$F$23,"NA")</f>
        <v>40</v>
      </c>
      <c r="I39" s="68">
        <f>COUNTIFS('pesticides labelling'!$C$4:$C$23,"Applicable",'pesticides labelling'!$F$4:$F$23,"Comply")+COUNTIFS('pesticides labelling'!$C$4:$C$23,"Applicable",'pesticides labelling'!$F$4:$F$23,"Compliant")+COUNTIFS('pesticides labelling'!$C$4:$C$23,"Applicable",'pesticides labelling'!$F$4:$F$23,"Yes")</f>
        <v>0</v>
      </c>
      <c r="J39" s="68">
        <f>COUNTIFS('pesticides labelling'!$C$4:$C$23,"Applicable",'pesticides labelling'!$F$4:$F$23,"Not Comply")+COUNTIFS('pesticides labelling'!$C$4:$C$23,"Applicable",'pesticides labelling'!$F$4:$F$23,"Non-Comply")+COUNTIFS('pesticides labelling'!$C$4:$C$23,"Applicable",'pesticides labelling'!$F$4:$F$23,"Non Comply")+COUNTIFS('pesticides labelling'!$C$4:$C$23,"Applicable",'pesticides labelling'!$F$4:$F$23,"No")</f>
        <v>0</v>
      </c>
      <c r="K39" s="68">
        <f t="shared" si="0"/>
        <v>0</v>
      </c>
      <c r="L39" s="69">
        <f t="shared" si="1"/>
        <v>0</v>
      </c>
      <c r="M39" s="69">
        <f t="shared" si="2"/>
        <v>0</v>
      </c>
      <c r="N39" s="62" t="str">
        <f t="shared" si="3"/>
        <v>Improve Compliance</v>
      </c>
      <c r="O39" s="70">
        <f t="shared" si="4"/>
        <v>-3.9E-2</v>
      </c>
      <c r="P39" s="62" t="str">
        <f t="shared" si="5"/>
        <v>pesticides labelling - Improve Compliance</v>
      </c>
      <c r="Q39" s="62" t="s">
        <v>1468</v>
      </c>
    </row>
    <row r="40" spans="1:17" ht="24">
      <c r="A40" s="62" t="s">
        <v>1521</v>
      </c>
      <c r="B40" s="64" t="s">
        <v>1464</v>
      </c>
      <c r="C40" s="62" t="s">
        <v>1522</v>
      </c>
      <c r="D40" s="62" t="s">
        <v>1523</v>
      </c>
      <c r="E40" s="62" t="s">
        <v>1524</v>
      </c>
      <c r="F40" s="68">
        <f>COUNTA(Pesticides!$B$4:$B$20)</f>
        <v>17</v>
      </c>
      <c r="G40" s="68">
        <f>COUNTIF(Pesticides!$C$4:$C$20,"Applicable")</f>
        <v>0</v>
      </c>
      <c r="H40" s="68">
        <f>COUNTIF(Pesticides!$C$4:$C$20,"Not Applicable")+COUNTIF(Pesticides!$C$4:$C$20,"NA")+COUNTIF(Pesticides!$F$4:$F$20,"NA")</f>
        <v>34</v>
      </c>
      <c r="I40" s="68">
        <f>COUNTIFS(Pesticides!$C$4:$C$20,"Applicable",Pesticides!$F$4:$F$20,"Comply")+COUNTIFS(Pesticides!$C$4:$C$20,"Applicable",Pesticides!$F$4:$F$20,"Compliant")+COUNTIFS(Pesticides!$C$4:$C$20,"Applicable",Pesticides!$F$4:$F$20,"Yes")</f>
        <v>0</v>
      </c>
      <c r="J40" s="68">
        <f>COUNTIFS(Pesticides!$C$4:$C$20,"Applicable",Pesticides!$F$4:$F$20,"Not Comply")+COUNTIFS(Pesticides!$C$4:$C$20,"Applicable",Pesticides!$F$4:$F$20,"Non-Comply")+COUNTIFS(Pesticides!$C$4:$C$20,"Applicable",Pesticides!$F$4:$F$20,"Non Comply")+COUNTIFS(Pesticides!$C$4:$C$20,"Applicable",Pesticides!$F$4:$F$20,"No")</f>
        <v>0</v>
      </c>
      <c r="K40" s="68">
        <f t="shared" si="0"/>
        <v>0</v>
      </c>
      <c r="L40" s="69">
        <f t="shared" si="1"/>
        <v>0</v>
      </c>
      <c r="M40" s="69">
        <f t="shared" si="2"/>
        <v>0</v>
      </c>
      <c r="N40" s="62" t="str">
        <f t="shared" si="3"/>
        <v>Improve Compliance</v>
      </c>
      <c r="O40" s="70">
        <f t="shared" si="4"/>
        <v>-0.04</v>
      </c>
      <c r="P40" s="62" t="str">
        <f t="shared" si="5"/>
        <v>Pesticides - Improve Compliance</v>
      </c>
      <c r="Q40" s="62" t="s">
        <v>1468</v>
      </c>
    </row>
    <row r="41" spans="1:17" ht="24">
      <c r="A41" s="62" t="s">
        <v>1525</v>
      </c>
      <c r="B41" s="64" t="s">
        <v>1501</v>
      </c>
      <c r="C41" s="62" t="s">
        <v>1526</v>
      </c>
      <c r="D41" s="62" t="s">
        <v>1527</v>
      </c>
      <c r="E41" s="62" t="s">
        <v>1528</v>
      </c>
      <c r="F41" s="68">
        <f>COUNTA('sewerage system'!$B$4:$B$34)</f>
        <v>31</v>
      </c>
      <c r="G41" s="68">
        <f>COUNTIF('sewerage system'!$C$4:$C$34,"Applicable")</f>
        <v>0</v>
      </c>
      <c r="H41" s="68">
        <f>COUNTIF('sewerage system'!$C$4:$C$34,"Not Applicable")+COUNTIF('sewerage system'!$C$4:$C$34,"NA")+COUNTIF('sewerage system'!$F$4:$F$34,"NA")</f>
        <v>62</v>
      </c>
      <c r="I41" s="68">
        <f>COUNTIFS('sewerage system'!$C$4:$C$34,"Applicable",'sewerage system'!$F$4:$F$34,"Comply")+COUNTIFS('sewerage system'!$C$4:$C$34,"Applicable",'sewerage system'!$F$4:$F$34,"Compliant")+COUNTIFS('sewerage system'!$C$4:$C$34,"Applicable",'sewerage system'!$F$4:$F$34,"Yes")</f>
        <v>0</v>
      </c>
      <c r="J41" s="68">
        <f>COUNTIFS('sewerage system'!$C$4:$C$34,"Applicable",'sewerage system'!$F$4:$F$34,"Not Comply")+COUNTIFS('sewerage system'!$C$4:$C$34,"Applicable",'sewerage system'!$F$4:$F$34,"Non-Comply")+COUNTIFS('sewerage system'!$C$4:$C$34,"Applicable",'sewerage system'!$F$4:$F$34,"Non Comply")+COUNTIFS('sewerage system'!$C$4:$C$34,"Applicable",'sewerage system'!$F$4:$F$34,"No")</f>
        <v>0</v>
      </c>
      <c r="K41" s="68">
        <f t="shared" si="0"/>
        <v>0</v>
      </c>
      <c r="L41" s="69">
        <f t="shared" si="1"/>
        <v>0</v>
      </c>
      <c r="M41" s="69">
        <f t="shared" si="2"/>
        <v>0</v>
      </c>
      <c r="N41" s="62" t="str">
        <f t="shared" si="3"/>
        <v>Improve Compliance</v>
      </c>
      <c r="O41" s="70">
        <f t="shared" si="4"/>
        <v>-4.1000000000000002E-2</v>
      </c>
      <c r="P41" s="62" t="str">
        <f t="shared" si="5"/>
        <v>sewerage system - Improve Compliance</v>
      </c>
      <c r="Q41" s="62" t="s">
        <v>1468</v>
      </c>
    </row>
    <row r="42" spans="1:17" ht="24">
      <c r="A42" s="62" t="s">
        <v>1529</v>
      </c>
      <c r="B42" s="64" t="s">
        <v>1501</v>
      </c>
      <c r="C42" s="62" t="s">
        <v>1530</v>
      </c>
      <c r="D42" s="62" t="s">
        <v>1531</v>
      </c>
      <c r="E42" s="62" t="s">
        <v>1532</v>
      </c>
      <c r="F42" s="68">
        <f>COUNTA(sewerage!$B$4:$B$21)</f>
        <v>18</v>
      </c>
      <c r="G42" s="68">
        <f>COUNTIF(sewerage!$C$4:$C$21,"Applicable")</f>
        <v>0</v>
      </c>
      <c r="H42" s="68">
        <f>COUNTIF(sewerage!$C$4:$C$21,"Not Applicable")+COUNTIF(sewerage!$C$4:$C$21,"NA")+COUNTIF(sewerage!$F$4:$F$21,"NA")</f>
        <v>36</v>
      </c>
      <c r="I42" s="68">
        <f>COUNTIFS(sewerage!$C$4:$C$21,"Applicable",sewerage!$F$4:$F$21,"Comply")+COUNTIFS(sewerage!$C$4:$C$21,"Applicable",sewerage!$F$4:$F$21,"Compliant")+COUNTIFS(sewerage!$C$4:$C$21,"Applicable",sewerage!$F$4:$F$21,"Yes")</f>
        <v>0</v>
      </c>
      <c r="J42" s="68">
        <f>COUNTIFS(sewerage!$C$4:$C$21,"Applicable",sewerage!$F$4:$F$21,"Not Comply")+COUNTIFS(sewerage!$C$4:$C$21,"Applicable",sewerage!$F$4:$F$21,"Non-Comply")+COUNTIFS(sewerage!$C$4:$C$21,"Applicable",sewerage!$F$4:$F$21,"Non Comply")+COUNTIFS(sewerage!$C$4:$C$21,"Applicable",sewerage!$F$4:$F$21,"No")</f>
        <v>0</v>
      </c>
      <c r="K42" s="68">
        <f t="shared" si="0"/>
        <v>0</v>
      </c>
      <c r="L42" s="69">
        <f t="shared" si="1"/>
        <v>0</v>
      </c>
      <c r="M42" s="69">
        <f t="shared" si="2"/>
        <v>0</v>
      </c>
      <c r="N42" s="62" t="str">
        <f t="shared" si="3"/>
        <v>Improve Compliance</v>
      </c>
      <c r="O42" s="70">
        <f t="shared" si="4"/>
        <v>-4.2000000000000003E-2</v>
      </c>
      <c r="P42" s="62" t="str">
        <f t="shared" si="5"/>
        <v>sewerage - Improve Compliance</v>
      </c>
      <c r="Q42" s="62" t="s">
        <v>1468</v>
      </c>
    </row>
    <row r="43" spans="1:17" ht="24">
      <c r="A43" s="62" t="s">
        <v>1533</v>
      </c>
      <c r="B43" s="64" t="s">
        <v>1464</v>
      </c>
      <c r="C43" s="62" t="s">
        <v>1534</v>
      </c>
      <c r="D43" s="62" t="s">
        <v>1535</v>
      </c>
      <c r="E43" s="62" t="s">
        <v>1536</v>
      </c>
      <c r="F43" s="68">
        <f>COUNTA(CLASS!$B$4:$B$20)</f>
        <v>17</v>
      </c>
      <c r="G43" s="68">
        <f>COUNTIF(CLASS!$C$4:$C$20,"Applicable")</f>
        <v>0</v>
      </c>
      <c r="H43" s="68">
        <f>COUNTIF(CLASS!$C$4:$C$20,"Not Applicable")+COUNTIF(CLASS!$C$4:$C$20,"NA")+COUNTIF(CLASS!$F$4:$F$20,"NA")</f>
        <v>34</v>
      </c>
      <c r="I43" s="68">
        <f>COUNTIFS(CLASS!$C$4:$C$20,"Applicable",CLASS!$F$4:$F$20,"Comply")+COUNTIFS(CLASS!$C$4:$C$20,"Applicable",CLASS!$F$4:$F$20,"Compliant")+COUNTIFS(CLASS!$C$4:$C$20,"Applicable",CLASS!$F$4:$F$20,"Yes")</f>
        <v>0</v>
      </c>
      <c r="J43" s="68">
        <f>COUNTIFS(CLASS!$C$4:$C$20,"Applicable",CLASS!$F$4:$F$20,"Not Comply")+COUNTIFS(CLASS!$C$4:$C$20,"Applicable",CLASS!$F$4:$F$20,"Non-Comply")+COUNTIFS(CLASS!$C$4:$C$20,"Applicable",CLASS!$F$4:$F$20,"Non Comply")+COUNTIFS(CLASS!$C$4:$C$20,"Applicable",CLASS!$F$4:$F$20,"No")</f>
        <v>0</v>
      </c>
      <c r="K43" s="68">
        <f t="shared" si="0"/>
        <v>0</v>
      </c>
      <c r="L43" s="69">
        <f t="shared" si="1"/>
        <v>0</v>
      </c>
      <c r="M43" s="69">
        <f t="shared" si="2"/>
        <v>0</v>
      </c>
      <c r="N43" s="62" t="str">
        <f t="shared" si="3"/>
        <v>Improve Compliance</v>
      </c>
      <c r="O43" s="70">
        <f t="shared" si="4"/>
        <v>-4.2999999999999997E-2</v>
      </c>
      <c r="P43" s="62" t="str">
        <f t="shared" si="5"/>
        <v>CLASS - Improve Compliance</v>
      </c>
      <c r="Q43" s="62" t="s">
        <v>1468</v>
      </c>
    </row>
    <row r="44" spans="1:17" ht="24">
      <c r="A44" s="62" t="s">
        <v>1537</v>
      </c>
      <c r="B44" s="64" t="s">
        <v>1464</v>
      </c>
      <c r="C44" s="62" t="s">
        <v>1538</v>
      </c>
      <c r="D44" s="62" t="s">
        <v>1539</v>
      </c>
      <c r="E44" s="62" t="s">
        <v>1540</v>
      </c>
      <c r="F44" s="68">
        <f>COUNTA(NADOPOD!$B$4:$B$11)</f>
        <v>8</v>
      </c>
      <c r="G44" s="68">
        <f>COUNTIF(NADOPOD!$C$4:$C$11,"Applicable")</f>
        <v>8</v>
      </c>
      <c r="H44" s="68">
        <f>COUNTIF(NADOPOD!$C$4:$C$11,"Not Applicable")+COUNTIF(NADOPOD!$C$4:$C$11,"NA")+COUNTIF(NADOPOD!$F$4:$F$11,"NA")</f>
        <v>0</v>
      </c>
      <c r="I44" s="68">
        <f>COUNTIFS(NADOPOD!$C$4:$C$11,"Applicable",NADOPOD!$F$4:$F$11,"Comply")+COUNTIFS(NADOPOD!$C$4:$C$11,"Applicable",NADOPOD!$F$4:$F$11,"Compliant")+COUNTIFS(NADOPOD!$C$4:$C$11,"Applicable",NADOPOD!$F$4:$F$11,"Yes")</f>
        <v>8</v>
      </c>
      <c r="J44" s="68">
        <f>COUNTIFS(NADOPOD!$C$4:$C$11,"Applicable",NADOPOD!$F$4:$F$11,"Not Comply")+COUNTIFS(NADOPOD!$C$4:$C$11,"Applicable",NADOPOD!$F$4:$F$11,"Non-Comply")+COUNTIFS(NADOPOD!$C$4:$C$11,"Applicable",NADOPOD!$F$4:$F$11,"Non Comply")+COUNTIFS(NADOPOD!$C$4:$C$11,"Applicable",NADOPOD!$F$4:$F$11,"No")</f>
        <v>0</v>
      </c>
      <c r="K44" s="68">
        <f t="shared" si="0"/>
        <v>0</v>
      </c>
      <c r="L44" s="69">
        <f t="shared" si="1"/>
        <v>1</v>
      </c>
      <c r="M44" s="69">
        <f t="shared" si="2"/>
        <v>1</v>
      </c>
      <c r="N44" s="62" t="str">
        <f t="shared" si="3"/>
        <v>Maintain Compliance</v>
      </c>
      <c r="O44" s="70">
        <f t="shared" si="4"/>
        <v>4.3999999999999997E-2</v>
      </c>
      <c r="P44" s="62" t="str">
        <f t="shared" si="5"/>
        <v>NADOPOD - Maintain Compliance</v>
      </c>
      <c r="Q44" s="62" t="s">
        <v>1468</v>
      </c>
    </row>
    <row r="45" spans="1:17" ht="24">
      <c r="A45" s="62" t="s">
        <v>1780</v>
      </c>
      <c r="B45" s="64" t="s">
        <v>1464</v>
      </c>
      <c r="C45" s="62" t="s">
        <v>1541</v>
      </c>
      <c r="D45" s="62" t="s">
        <v>1542</v>
      </c>
      <c r="E45" s="62" t="s">
        <v>1543</v>
      </c>
      <c r="F45" s="68">
        <f>COUNTA(noise!$B$4:$B$19)</f>
        <v>16</v>
      </c>
      <c r="G45" s="68">
        <f>COUNTIF(noise!$C$4:$C$19,"Applicable")</f>
        <v>1</v>
      </c>
      <c r="H45" s="68">
        <f>COUNTIF(noise!$C$4:$C$19,"Not Applicable")+COUNTIF(noise!$C$4:$C$19,"NA")+COUNTIF(noise!$F$4:$F$19,"NA")</f>
        <v>30</v>
      </c>
      <c r="I45" s="68">
        <f>COUNTIFS(noise!$C$4:$C$19,"Applicable",noise!$F$4:$F$19,"Comply")+COUNTIFS(noise!$C$4:$C$19,"Applicable",noise!$F$4:$F$19,"Compliant")+COUNTIFS(noise!$C$4:$C$19,"Applicable",noise!$F$4:$F$19,"Yes")</f>
        <v>1</v>
      </c>
      <c r="J45" s="68">
        <f>COUNTIFS(noise!$C$4:$C$19,"Applicable",noise!$F$4:$F$19,"Not Comply")+COUNTIFS(noise!$C$4:$C$19,"Applicable",noise!$F$4:$F$19,"Non-Comply")+COUNTIFS(noise!$C$4:$C$19,"Applicable",noise!$F$4:$F$19,"Non Comply")+COUNTIFS(noise!$C$4:$C$19,"Applicable",noise!$F$4:$F$19,"No")</f>
        <v>0</v>
      </c>
      <c r="K45" s="68">
        <f t="shared" si="0"/>
        <v>0</v>
      </c>
      <c r="L45" s="69">
        <f t="shared" si="1"/>
        <v>1</v>
      </c>
      <c r="M45" s="69">
        <f t="shared" si="2"/>
        <v>1</v>
      </c>
      <c r="N45" s="62" t="str">
        <f t="shared" si="3"/>
        <v>Maintain Compliance</v>
      </c>
      <c r="O45" s="70">
        <f t="shared" si="4"/>
        <v>4.4999999999999998E-2</v>
      </c>
      <c r="P45" s="62" t="str">
        <f t="shared" si="5"/>
        <v>Noise Reg. - Maintain Compliance</v>
      </c>
      <c r="Q45" s="62" t="s">
        <v>1468</v>
      </c>
    </row>
    <row r="46" spans="1:17" ht="24">
      <c r="A46" s="62" t="s">
        <v>1781</v>
      </c>
      <c r="B46" s="64" t="s">
        <v>1464</v>
      </c>
      <c r="C46" s="62" t="s">
        <v>1544</v>
      </c>
      <c r="D46" s="62" t="s">
        <v>1545</v>
      </c>
      <c r="E46" s="62" t="s">
        <v>1546</v>
      </c>
      <c r="F46" s="68">
        <f>COUNTA(shc!$B$4:$B$26)</f>
        <v>23</v>
      </c>
      <c r="G46" s="68">
        <f>COUNTIF(shc!$C$4:$C$26,"Applicable")</f>
        <v>0</v>
      </c>
      <c r="H46" s="68">
        <f>COUNTIF(shc!$C$4:$C$26,"Not Applicable")+COUNTIF(shc!$C$4:$C$26,"NA")+COUNTIF(shc!$F$4:$F$26,"NA")</f>
        <v>46</v>
      </c>
      <c r="I46" s="68">
        <f>COUNTIFS(shc!$C$4:$C$26,"Applicable",shc!$F$4:$F$26,"Comply")+COUNTIFS(shc!$C$4:$C$26,"Applicable",shc!$F$4:$F$26,"Compliant")+COUNTIFS(shc!$C$4:$C$26,"Applicable",shc!$F$4:$F$26,"Yes")</f>
        <v>0</v>
      </c>
      <c r="J46" s="68">
        <f>COUNTIFS(shc!$C$4:$C$26,"Applicable",shc!$F$4:$F$26,"Not Comply")+COUNTIFS(shc!$C$4:$C$26,"Applicable",shc!$F$4:$F$26,"Non-Comply")+COUNTIFS(shc!$C$4:$C$26,"Applicable",shc!$F$4:$F$26,"Non Comply")+COUNTIFS(shc!$C$4:$C$26,"Applicable",shc!$F$4:$F$26,"No")</f>
        <v>0</v>
      </c>
      <c r="K46" s="68">
        <f t="shared" si="0"/>
        <v>0</v>
      </c>
      <c r="L46" s="69">
        <f t="shared" si="1"/>
        <v>0</v>
      </c>
      <c r="M46" s="69">
        <f t="shared" si="2"/>
        <v>0</v>
      </c>
      <c r="N46" s="62" t="str">
        <f t="shared" si="3"/>
        <v>Improve Compliance</v>
      </c>
      <c r="O46" s="70">
        <f t="shared" si="4"/>
        <v>-4.5999999999999999E-2</v>
      </c>
      <c r="P46" s="62" t="str">
        <f t="shared" si="5"/>
        <v>SHC Reg. - Improve Compliance</v>
      </c>
      <c r="Q46" s="62" t="s">
        <v>1468</v>
      </c>
    </row>
    <row r="47" spans="1:17" ht="24">
      <c r="A47" s="62" t="s">
        <v>1547</v>
      </c>
      <c r="B47" s="64" t="s">
        <v>1464</v>
      </c>
      <c r="C47" s="62" t="s">
        <v>1548</v>
      </c>
      <c r="D47" s="62" t="s">
        <v>1549</v>
      </c>
      <c r="E47" s="62" t="s">
        <v>1550</v>
      </c>
      <c r="F47" s="68">
        <f>COUNTA(CDM!$B$4:$B$39)</f>
        <v>36</v>
      </c>
      <c r="G47" s="68">
        <f>COUNTIF(CDM!$C$4:$C$39,"Applicable")</f>
        <v>0</v>
      </c>
      <c r="H47" s="68">
        <f>COUNTIF(CDM!$C$4:$C$39,"Not Applicable")+COUNTIF(CDM!$C$4:$C$39,"NA")+COUNTIF(CDM!$F$4:$F$39,"NA")</f>
        <v>72</v>
      </c>
      <c r="I47" s="68">
        <f>COUNTIFS(CDM!$C$4:$C$39,"Applicable",CDM!$F$4:$F$39,"Comply")+COUNTIFS(CDM!$C$4:$C$39,"Applicable",CDM!$F$4:$F$39,"Compliant")+COUNTIFS(CDM!$C$4:$C$39,"Applicable",CDM!$F$4:$F$39,"Yes")</f>
        <v>0</v>
      </c>
      <c r="J47" s="68">
        <f>COUNTIFS(CDM!$C$4:$C$39,"Applicable",CDM!$F$4:$F$39,"Not Comply")+COUNTIFS(CDM!$C$4:$C$39,"Applicable",CDM!$F$4:$F$39,"Non-Comply")+COUNTIFS(CDM!$C$4:$C$39,"Applicable",CDM!$F$4:$F$39,"Non Comply")+COUNTIFS(CDM!$C$4:$C$39,"Applicable",CDM!$F$4:$F$39,"No")</f>
        <v>0</v>
      </c>
      <c r="K47" s="68">
        <f t="shared" si="0"/>
        <v>0</v>
      </c>
      <c r="L47" s="69">
        <f t="shared" si="1"/>
        <v>0</v>
      </c>
      <c r="M47" s="69">
        <f t="shared" si="2"/>
        <v>0</v>
      </c>
      <c r="N47" s="62" t="str">
        <f t="shared" si="3"/>
        <v>Improve Compliance</v>
      </c>
      <c r="O47" s="70">
        <f t="shared" si="4"/>
        <v>-4.7E-2</v>
      </c>
      <c r="P47" s="62" t="str">
        <f t="shared" si="5"/>
        <v>CDM - Improve Compliance</v>
      </c>
      <c r="Q47" s="62" t="s">
        <v>1468</v>
      </c>
    </row>
    <row r="48" spans="1:17" ht="24">
      <c r="A48" s="62" t="s">
        <v>1551</v>
      </c>
      <c r="B48" s="64" t="s">
        <v>1474</v>
      </c>
      <c r="C48" s="62" t="s">
        <v>1552</v>
      </c>
      <c r="D48" s="62" t="s">
        <v>1553</v>
      </c>
      <c r="E48" s="62" t="s">
        <v>1554</v>
      </c>
      <c r="F48" s="68">
        <f>COUNTA(EQA!$B$4:$B$31)</f>
        <v>28</v>
      </c>
      <c r="G48" s="68">
        <f>COUNTIF(EQA!$C$4:$C$31,"Applicable")</f>
        <v>22</v>
      </c>
      <c r="H48" s="68">
        <f>COUNTIF(EQA!$C$4:$C$31,"Not Applicable")+COUNTIF(EQA!$C$4:$C$31,"NA")+COUNTIF(EQA!$F$4:$F$31,"NA")</f>
        <v>10</v>
      </c>
      <c r="I48" s="68">
        <f>COUNTIFS(EQA!$C$4:$C$31,"Applicable",EQA!$F$4:$F$31,"Comply")+COUNTIFS(EQA!$C$4:$C$31,"Applicable",EQA!$F$4:$F$31,"Compliant")+COUNTIFS(EQA!$C$4:$C$31,"Applicable",EQA!$F$4:$F$31,"Yes")</f>
        <v>22</v>
      </c>
      <c r="J48" s="68">
        <f>COUNTIFS(EQA!$C$4:$C$31,"Applicable",EQA!$F$4:$F$31,"Not Comply")+COUNTIFS(EQA!$C$4:$C$31,"Applicable",EQA!$F$4:$F$31,"Non-Comply")+COUNTIFS(EQA!$C$4:$C$31,"Applicable",EQA!$F$4:$F$31,"Non Comply")+COUNTIFS(EQA!$C$4:$C$31,"Applicable",EQA!$F$4:$F$31,"No")</f>
        <v>0</v>
      </c>
      <c r="K48" s="68">
        <f t="shared" si="0"/>
        <v>0</v>
      </c>
      <c r="L48" s="69">
        <f t="shared" si="1"/>
        <v>1</v>
      </c>
      <c r="M48" s="69">
        <f t="shared" si="2"/>
        <v>1</v>
      </c>
      <c r="N48" s="62" t="str">
        <f t="shared" si="3"/>
        <v>Maintain Compliance</v>
      </c>
      <c r="O48" s="70">
        <f t="shared" si="4"/>
        <v>4.8000000000000001E-2</v>
      </c>
      <c r="P48" s="62" t="str">
        <f t="shared" si="5"/>
        <v>EQA - Maintain Compliance</v>
      </c>
      <c r="Q48" s="62" t="s">
        <v>1468</v>
      </c>
    </row>
    <row r="49" spans="1:17" ht="24">
      <c r="A49" s="62" t="s">
        <v>1555</v>
      </c>
      <c r="B49" s="64" t="s">
        <v>1556</v>
      </c>
      <c r="C49" s="62" t="s">
        <v>1557</v>
      </c>
      <c r="D49" s="62" t="s">
        <v>1558</v>
      </c>
      <c r="E49" s="62" t="s">
        <v>1559</v>
      </c>
      <c r="F49" s="68">
        <f>COUNTA(FSA!$B$4:$B$31)</f>
        <v>28</v>
      </c>
      <c r="G49" s="68">
        <f>COUNTIF(FSA!$C$4:$C$31,"Applicable")</f>
        <v>25</v>
      </c>
      <c r="H49" s="68">
        <f>COUNTIF(FSA!$C$4:$C$31,"Not Applicable")+COUNTIF(FSA!$C$4:$C$31,"NA")+COUNTIF(FSA!$F$4:$F$31,"NA")</f>
        <v>6</v>
      </c>
      <c r="I49" s="68">
        <f>COUNTIFS(FSA!$C$4:$C$31,"Applicable",FSA!$F$4:$F$31,"Comply")+COUNTIFS(FSA!$C$4:$C$31,"Applicable",FSA!$F$4:$F$31,"Compliant")+COUNTIFS(FSA!$C$4:$C$31,"Applicable",FSA!$F$4:$F$31,"Yes")</f>
        <v>25</v>
      </c>
      <c r="J49" s="68">
        <f>COUNTIFS(FSA!$C$4:$C$31,"Applicable",FSA!$F$4:$F$31,"Not Comply")+COUNTIFS(FSA!$C$4:$C$31,"Applicable",FSA!$F$4:$F$31,"Non-Comply")+COUNTIFS(FSA!$C$4:$C$31,"Applicable",FSA!$F$4:$F$31,"Non Comply")+COUNTIFS(FSA!$C$4:$C$31,"Applicable",FSA!$F$4:$F$31,"No")</f>
        <v>0</v>
      </c>
      <c r="K49" s="68">
        <f t="shared" si="0"/>
        <v>0</v>
      </c>
      <c r="L49" s="69">
        <f t="shared" si="1"/>
        <v>1</v>
      </c>
      <c r="M49" s="69">
        <f t="shared" si="2"/>
        <v>1</v>
      </c>
      <c r="N49" s="62" t="str">
        <f t="shared" si="3"/>
        <v>Maintain Compliance</v>
      </c>
      <c r="O49" s="70">
        <f t="shared" si="4"/>
        <v>4.9000000000000002E-2</v>
      </c>
      <c r="P49" s="62" t="str">
        <f t="shared" si="5"/>
        <v>FSA - Maintain Compliance</v>
      </c>
      <c r="Q49" s="62" t="s">
        <v>1468</v>
      </c>
    </row>
    <row r="50" spans="1:17" ht="24">
      <c r="A50" s="62" t="s">
        <v>1560</v>
      </c>
      <c r="B50" s="64" t="s">
        <v>1556</v>
      </c>
      <c r="C50" s="62" t="s">
        <v>1561</v>
      </c>
      <c r="D50" s="62" t="s">
        <v>1562</v>
      </c>
      <c r="E50" s="62" t="s">
        <v>1563</v>
      </c>
      <c r="F50" s="68">
        <f>COUNTA(FC!$B$4:$B$29)</f>
        <v>26</v>
      </c>
      <c r="G50" s="68">
        <f>COUNTIF(FC!$C$4:$C$29,"Applicable")</f>
        <v>0</v>
      </c>
      <c r="H50" s="68">
        <f>COUNTIF(FC!$C$4:$C$29,"Not Applicable")+COUNTIF(FC!$C$4:$C$29,"NA")+COUNTIF(FC!$F$4:$F$29,"NA")</f>
        <v>52</v>
      </c>
      <c r="I50" s="68">
        <f>COUNTIFS(FC!$C$4:$C$29,"Applicable",FC!$F$4:$F$29,"Comply")+COUNTIFS(FC!$C$4:$C$29,"Applicable",FC!$F$4:$F$29,"Compliant")+COUNTIFS(FC!$C$4:$C$29,"Applicable",FC!$F$4:$F$29,"Yes")</f>
        <v>0</v>
      </c>
      <c r="J50" s="68">
        <f>COUNTIFS(FC!$C$4:$C$29,"Applicable",FC!$F$4:$F$29,"Not Comply")+COUNTIFS(FC!$C$4:$C$29,"Applicable",FC!$F$4:$F$29,"Non-Comply")+COUNTIFS(FC!$C$4:$C$29,"Applicable",FC!$F$4:$F$29,"Non Comply")+COUNTIFS(FC!$C$4:$C$29,"Applicable",FC!$F$4:$F$29,"No")</f>
        <v>0</v>
      </c>
      <c r="K50" s="68">
        <f t="shared" si="0"/>
        <v>0</v>
      </c>
      <c r="L50" s="69">
        <f t="shared" si="1"/>
        <v>0</v>
      </c>
      <c r="M50" s="69">
        <f t="shared" si="2"/>
        <v>0</v>
      </c>
      <c r="N50" s="62" t="str">
        <f t="shared" si="3"/>
        <v>Improve Compliance</v>
      </c>
      <c r="O50" s="70">
        <f t="shared" si="4"/>
        <v>-0.05</v>
      </c>
      <c r="P50" s="62" t="str">
        <f t="shared" si="5"/>
        <v>FC - Improve Compliance</v>
      </c>
      <c r="Q50" s="62" t="s">
        <v>1468</v>
      </c>
    </row>
    <row r="51" spans="1:17" ht="24">
      <c r="A51" s="62" t="s">
        <v>1564</v>
      </c>
      <c r="B51" s="64" t="s">
        <v>1474</v>
      </c>
      <c r="C51" s="62" t="s">
        <v>1565</v>
      </c>
      <c r="D51" s="62" t="s">
        <v>1566</v>
      </c>
      <c r="E51" s="62" t="s">
        <v>1567</v>
      </c>
      <c r="F51" s="68">
        <f>COUNTA(sewage!$B$4:$B$20)</f>
        <v>17</v>
      </c>
      <c r="G51" s="68">
        <f>COUNTIF(sewage!$C$4:$C$20,"Applicable")</f>
        <v>0</v>
      </c>
      <c r="H51" s="68">
        <f>COUNTIF(sewage!$C$4:$C$20,"Not Applicable")+COUNTIF(sewage!$C$4:$C$20,"NA")+COUNTIF(sewage!$F$4:$F$20,"NA")</f>
        <v>34</v>
      </c>
      <c r="I51" s="68">
        <f>COUNTIFS(sewage!$C$4:$C$20,"Applicable",sewage!$F$4:$F$20,"Comply")+COUNTIFS(sewage!$C$4:$C$20,"Applicable",sewage!$F$4:$F$20,"Compliant")+COUNTIFS(sewage!$C$4:$C$20,"Applicable",sewage!$F$4:$F$20,"Yes")</f>
        <v>0</v>
      </c>
      <c r="J51" s="68">
        <f>COUNTIFS(sewage!$C$4:$C$20,"Applicable",sewage!$F$4:$F$20,"Not Comply")+COUNTIFS(sewage!$C$4:$C$20,"Applicable",sewage!$F$4:$F$20,"Non-Comply")+COUNTIFS(sewage!$C$4:$C$20,"Applicable",sewage!$F$4:$F$20,"Non Comply")+COUNTIFS(sewage!$C$4:$C$20,"Applicable",sewage!$F$4:$F$20,"No")</f>
        <v>0</v>
      </c>
      <c r="K51" s="68">
        <f t="shared" si="0"/>
        <v>0</v>
      </c>
      <c r="L51" s="69">
        <f t="shared" si="1"/>
        <v>0</v>
      </c>
      <c r="M51" s="69">
        <f t="shared" si="2"/>
        <v>0</v>
      </c>
      <c r="N51" s="62" t="str">
        <f t="shared" si="3"/>
        <v>Improve Compliance</v>
      </c>
      <c r="O51" s="70">
        <f t="shared" si="4"/>
        <v>-5.0999999999999997E-2</v>
      </c>
      <c r="P51" s="62" t="str">
        <f t="shared" si="5"/>
        <v>sewage - Improve Compliance</v>
      </c>
      <c r="Q51" s="62" t="s">
        <v>1468</v>
      </c>
    </row>
    <row r="52" spans="1:17" ht="24">
      <c r="A52" s="62" t="s">
        <v>1568</v>
      </c>
      <c r="B52" s="64" t="s">
        <v>1474</v>
      </c>
      <c r="C52" s="62" t="s">
        <v>1569</v>
      </c>
      <c r="D52" s="62" t="s">
        <v>1570</v>
      </c>
      <c r="E52" s="62" t="s">
        <v>1571</v>
      </c>
      <c r="F52" s="68">
        <f>COUNTA(refrigerant!$B$4:$B$12)</f>
        <v>9</v>
      </c>
      <c r="G52" s="68">
        <f>COUNTIF(refrigerant!$C$4:$C$12,"Applicable")</f>
        <v>0</v>
      </c>
      <c r="H52" s="68">
        <f>COUNTIF(refrigerant!$C$4:$C$12,"Not Applicable")+COUNTIF(refrigerant!$C$4:$C$12,"NA")+COUNTIF(refrigerant!$F$4:$F$12,"NA")</f>
        <v>18</v>
      </c>
      <c r="I52" s="68">
        <f>COUNTIFS(refrigerant!$C$4:$C$12,"Applicable",refrigerant!$F$4:$F$12,"Comply")+COUNTIFS(refrigerant!$C$4:$C$12,"Applicable",refrigerant!$F$4:$F$12,"Compliant")+COUNTIFS(refrigerant!$C$4:$C$12,"Applicable",refrigerant!$F$4:$F$12,"Yes")</f>
        <v>0</v>
      </c>
      <c r="J52" s="68">
        <f>COUNTIFS(refrigerant!$C$4:$C$12,"Applicable",refrigerant!$F$4:$F$12,"Not Comply")+COUNTIFS(refrigerant!$C$4:$C$12,"Applicable",refrigerant!$F$4:$F$12,"Non-Comply")+COUNTIFS(refrigerant!$C$4:$C$12,"Applicable",refrigerant!$F$4:$F$12,"Non Comply")+COUNTIFS(refrigerant!$C$4:$C$12,"Applicable",refrigerant!$F$4:$F$12,"No")</f>
        <v>0</v>
      </c>
      <c r="K52" s="68">
        <f t="shared" si="0"/>
        <v>0</v>
      </c>
      <c r="L52" s="69">
        <f t="shared" si="1"/>
        <v>0</v>
      </c>
      <c r="M52" s="69">
        <f t="shared" si="2"/>
        <v>0</v>
      </c>
      <c r="N52" s="62" t="str">
        <f t="shared" si="3"/>
        <v>Improve Compliance</v>
      </c>
      <c r="O52" s="70">
        <f t="shared" si="4"/>
        <v>-5.1999999999999998E-2</v>
      </c>
      <c r="P52" s="62" t="str">
        <f t="shared" si="5"/>
        <v>refrigerant - Improve Compliance</v>
      </c>
      <c r="Q52" s="62" t="s">
        <v>1468</v>
      </c>
    </row>
    <row r="53" spans="1:17">
      <c r="A53" s="71" t="s">
        <v>1572</v>
      </c>
      <c r="B53" s="71" t="s">
        <v>1573</v>
      </c>
      <c r="C53" s="71"/>
      <c r="D53" s="71"/>
      <c r="E53" s="71"/>
      <c r="F53" s="72">
        <f t="shared" ref="F53:K53" si="6">SUM(F26:F52)</f>
        <v>571</v>
      </c>
      <c r="G53" s="72">
        <f t="shared" si="6"/>
        <v>76</v>
      </c>
      <c r="H53" s="72">
        <f t="shared" si="6"/>
        <v>988</v>
      </c>
      <c r="I53" s="72">
        <f t="shared" si="6"/>
        <v>76</v>
      </c>
      <c r="J53" s="72">
        <f t="shared" si="6"/>
        <v>0</v>
      </c>
      <c r="K53" s="72">
        <f t="shared" si="6"/>
        <v>0</v>
      </c>
      <c r="L53" s="73">
        <f t="shared" si="1"/>
        <v>1</v>
      </c>
      <c r="M53" s="73">
        <f t="shared" si="2"/>
        <v>1</v>
      </c>
      <c r="N53" s="71" t="str">
        <f t="shared" si="3"/>
        <v>Maintain Compliance</v>
      </c>
      <c r="O53" s="74">
        <f>SUM(O26:O52)</f>
        <v>-0.629</v>
      </c>
      <c r="P53" s="71" t="str">
        <f t="shared" si="5"/>
        <v>TOTAL - Maintain Compliance</v>
      </c>
      <c r="Q53" s="71" t="s">
        <v>1574</v>
      </c>
    </row>
    <row r="54" spans="1:17">
      <c r="A54" s="62"/>
      <c r="B54" s="62"/>
      <c r="C54" s="62"/>
      <c r="D54" s="62"/>
      <c r="E54" s="62"/>
      <c r="F54" s="62"/>
      <c r="G54" s="62"/>
      <c r="H54" s="62"/>
      <c r="I54" s="62"/>
      <c r="J54" s="62"/>
      <c r="K54" s="62"/>
      <c r="L54" s="62"/>
      <c r="M54" s="62"/>
      <c r="N54" s="62"/>
      <c r="O54" s="62"/>
      <c r="P54" s="62"/>
      <c r="Q54" s="62"/>
    </row>
    <row r="55" spans="1:17">
      <c r="A55" s="62"/>
      <c r="B55" s="62"/>
      <c r="C55" s="62"/>
      <c r="D55" s="62"/>
      <c r="E55" s="62"/>
      <c r="F55" s="62"/>
      <c r="G55" s="62"/>
      <c r="H55" s="62"/>
      <c r="I55" s="62"/>
      <c r="J55" s="62"/>
      <c r="K55" s="62"/>
      <c r="L55" s="62"/>
      <c r="M55" s="62"/>
      <c r="N55" s="62"/>
      <c r="O55" s="62"/>
      <c r="P55" s="62"/>
      <c r="Q55" s="62"/>
    </row>
    <row r="56" spans="1:17">
      <c r="A56" s="226" t="s">
        <v>1575</v>
      </c>
      <c r="B56" s="226"/>
      <c r="C56" s="226"/>
      <c r="D56" s="226"/>
      <c r="E56" s="226"/>
      <c r="F56" s="226"/>
      <c r="G56" s="226"/>
      <c r="H56" s="67"/>
      <c r="I56" s="67"/>
      <c r="J56" s="67"/>
      <c r="K56" s="67"/>
      <c r="L56" s="67"/>
      <c r="M56" s="67"/>
      <c r="N56" s="67"/>
      <c r="O56" s="67"/>
      <c r="P56" s="67"/>
      <c r="Q56" s="67"/>
    </row>
    <row r="57" spans="1:17" ht="16" customHeight="1">
      <c r="A57" s="63" t="s">
        <v>1576</v>
      </c>
      <c r="B57" s="63" t="s">
        <v>1577</v>
      </c>
      <c r="C57" s="63" t="s">
        <v>1578</v>
      </c>
      <c r="D57" s="63" t="s">
        <v>1579</v>
      </c>
      <c r="E57" s="63" t="s">
        <v>1580</v>
      </c>
      <c r="F57" s="63" t="s">
        <v>1581</v>
      </c>
      <c r="G57" s="63" t="s">
        <v>1582</v>
      </c>
      <c r="H57" s="62"/>
      <c r="I57" s="62"/>
      <c r="J57" s="62"/>
      <c r="K57" s="62"/>
      <c r="L57" s="62"/>
      <c r="M57" s="62"/>
      <c r="N57" s="62"/>
      <c r="O57" s="62"/>
      <c r="P57" s="62"/>
      <c r="Q57" s="62"/>
    </row>
    <row r="58" spans="1:17" ht="24">
      <c r="A58" s="75" t="s">
        <v>1454</v>
      </c>
      <c r="B58" s="75">
        <f>I53</f>
        <v>76</v>
      </c>
      <c r="C58" s="76">
        <f>IF(F53=0,0,B58/F53)</f>
        <v>0.13309982486865149</v>
      </c>
      <c r="D58" s="75" t="s">
        <v>1583</v>
      </c>
      <c r="E58" s="75" t="s">
        <v>1584</v>
      </c>
      <c r="F58" s="75" t="s">
        <v>1585</v>
      </c>
      <c r="G58" s="75" t="s">
        <v>1586</v>
      </c>
      <c r="H58" s="62"/>
      <c r="I58" s="62"/>
      <c r="J58" s="62"/>
      <c r="K58" s="62"/>
      <c r="L58" s="62"/>
      <c r="M58" s="62"/>
      <c r="N58" s="62"/>
      <c r="O58" s="62"/>
      <c r="P58" s="62"/>
      <c r="Q58" s="62"/>
    </row>
    <row r="59" spans="1:17" ht="36">
      <c r="A59" s="75" t="s">
        <v>1455</v>
      </c>
      <c r="B59" s="75">
        <f>J53</f>
        <v>0</v>
      </c>
      <c r="C59" s="76">
        <f>IF(F53=0,0,B59/F53)</f>
        <v>0</v>
      </c>
      <c r="D59" s="75" t="s">
        <v>1583</v>
      </c>
      <c r="E59" s="75" t="s">
        <v>1587</v>
      </c>
      <c r="F59" s="75" t="s">
        <v>1588</v>
      </c>
      <c r="G59" s="75" t="s">
        <v>1589</v>
      </c>
      <c r="H59" s="62"/>
      <c r="I59" s="62"/>
      <c r="J59" s="62"/>
      <c r="K59" s="62"/>
      <c r="L59" s="62"/>
      <c r="M59" s="62"/>
      <c r="N59" s="62"/>
      <c r="O59" s="62"/>
      <c r="P59" s="62"/>
      <c r="Q59" s="62"/>
    </row>
    <row r="60" spans="1:17" ht="24">
      <c r="A60" s="75" t="s">
        <v>1456</v>
      </c>
      <c r="B60" s="75">
        <f>K53</f>
        <v>0</v>
      </c>
      <c r="C60" s="76">
        <f>IF(F53=0,0,B60/F53)</f>
        <v>0</v>
      </c>
      <c r="D60" s="75" t="s">
        <v>1590</v>
      </c>
      <c r="E60" s="75" t="s">
        <v>1591</v>
      </c>
      <c r="F60" s="75" t="s">
        <v>1592</v>
      </c>
      <c r="G60" s="75" t="s">
        <v>1593</v>
      </c>
      <c r="H60" s="62"/>
      <c r="I60" s="62"/>
      <c r="J60" s="62"/>
      <c r="K60" s="62"/>
      <c r="L60" s="62"/>
      <c r="M60" s="62"/>
      <c r="N60" s="62"/>
      <c r="O60" s="62"/>
      <c r="P60" s="62"/>
      <c r="Q60" s="62"/>
    </row>
    <row r="61" spans="1:17" ht="36">
      <c r="A61" s="75" t="s">
        <v>1359</v>
      </c>
      <c r="B61" s="75">
        <f>H53</f>
        <v>988</v>
      </c>
      <c r="C61" s="76">
        <f>IF(F53=0,0,B61/F53)</f>
        <v>1.7302977232924694</v>
      </c>
      <c r="D61" s="75" t="s">
        <v>1594</v>
      </c>
      <c r="E61" s="75" t="s">
        <v>1595</v>
      </c>
      <c r="F61" s="75" t="s">
        <v>1596</v>
      </c>
      <c r="G61" s="75" t="s">
        <v>1597</v>
      </c>
      <c r="H61" s="62"/>
      <c r="I61" s="62"/>
      <c r="J61" s="62"/>
      <c r="K61" s="62"/>
      <c r="L61" s="62"/>
      <c r="M61" s="62"/>
      <c r="N61" s="62"/>
      <c r="O61" s="62"/>
      <c r="P61" s="62"/>
      <c r="Q61" s="62"/>
    </row>
    <row r="62" spans="1:17">
      <c r="A62" s="62"/>
      <c r="B62" s="62"/>
      <c r="C62" s="62"/>
      <c r="D62" s="62"/>
      <c r="E62" s="62"/>
      <c r="F62" s="62"/>
      <c r="G62" s="62"/>
      <c r="H62" s="62"/>
      <c r="I62" s="62"/>
      <c r="J62" s="62"/>
      <c r="K62" s="62"/>
      <c r="L62" s="62"/>
      <c r="M62" s="62"/>
      <c r="N62" s="62"/>
      <c r="O62" s="62"/>
      <c r="P62" s="62"/>
      <c r="Q62" s="62"/>
    </row>
    <row r="63" spans="1:17">
      <c r="A63" s="62"/>
      <c r="B63" s="62"/>
      <c r="C63" s="62"/>
      <c r="D63" s="62"/>
      <c r="E63" s="62"/>
      <c r="F63" s="62"/>
      <c r="G63" s="62"/>
      <c r="H63" s="62"/>
      <c r="I63" s="62"/>
      <c r="J63" s="62"/>
      <c r="K63" s="62"/>
      <c r="L63" s="62"/>
      <c r="M63" s="62"/>
      <c r="N63" s="62"/>
      <c r="O63" s="62"/>
      <c r="P63" s="62"/>
      <c r="Q63" s="62"/>
    </row>
    <row r="64" spans="1:17">
      <c r="A64" s="226" t="s">
        <v>1598</v>
      </c>
      <c r="B64" s="226"/>
      <c r="C64" s="226"/>
      <c r="D64" s="226"/>
      <c r="E64" s="226"/>
      <c r="F64" s="226"/>
      <c r="G64" s="226"/>
      <c r="H64" s="226"/>
      <c r="I64" s="67"/>
      <c r="J64" s="67"/>
      <c r="K64" s="67"/>
      <c r="L64" s="67"/>
      <c r="M64" s="67"/>
      <c r="N64" s="67"/>
      <c r="O64" s="67"/>
      <c r="P64" s="67"/>
      <c r="Q64" s="67"/>
    </row>
    <row r="65" spans="1:17" ht="16" customHeight="1">
      <c r="A65" s="63" t="s">
        <v>1599</v>
      </c>
      <c r="B65" s="63" t="s">
        <v>1447</v>
      </c>
      <c r="C65" s="63" t="s">
        <v>1448</v>
      </c>
      <c r="D65" s="63" t="s">
        <v>1600</v>
      </c>
      <c r="E65" s="63" t="s">
        <v>1601</v>
      </c>
      <c r="F65" s="63" t="s">
        <v>1602</v>
      </c>
      <c r="G65" s="63" t="s">
        <v>1603</v>
      </c>
      <c r="H65" s="63" t="s">
        <v>1604</v>
      </c>
      <c r="I65" s="62"/>
      <c r="J65" s="62"/>
      <c r="K65" s="62"/>
      <c r="L65" s="62"/>
      <c r="M65" s="62"/>
      <c r="N65" s="62"/>
      <c r="O65" s="62"/>
      <c r="P65" s="62"/>
      <c r="Q65" s="62"/>
    </row>
    <row r="66" spans="1:17" ht="60">
      <c r="A66" s="75">
        <f>1</f>
        <v>1</v>
      </c>
      <c r="B66" s="75" t="str">
        <f>IFERROR(IF(LARGE($O$26:$O$52,A66)&lt;0,"",INDEX($A$26:$A$52,MATCH(LARGE($O$26:$O$52,A66),$O$26:$O$52,0))),"")</f>
        <v>FSA</v>
      </c>
      <c r="C66" s="75" t="str">
        <f>IF(B66="","",VLOOKUP(B66,$A$26:$Q$52,2,FALSE))</f>
        <v>Fire Safety</v>
      </c>
      <c r="D66" s="64" t="s">
        <v>1605</v>
      </c>
      <c r="E66" s="75" t="str">
        <f>IF(B66="","",VLOOKUP(B66,$A$26:$Q$52,14,FALSE))</f>
        <v>Maintain Compliance</v>
      </c>
      <c r="F66" s="75" t="str">
        <f>IF(B66="","",IF(VLOOKUP(B66,$A$26:$Q$52,10,FALSE)&gt;0,"High",IF(VLOOKUP(B66,$A$26:$Q$52,11,FALSE)&gt;0,"Medium","Low")))</f>
        <v>Low</v>
      </c>
      <c r="G66" s="75" t="str">
        <f>IF(B66="","",IF(F66="High","Close non-compliance and verify evidence",IF(E66="Pending Evaluation","Complete evaluation before management review",IF(E66="Maintain Compliance","Maintain evidence and monitoring","Improve evidence and control"))))</f>
        <v>Maintain evidence and monitoring</v>
      </c>
      <c r="H66" s="75" t="str">
        <f>IF(B66="","",CONCATENATE(B66,": ",D66," | Status: ",E66," | Priority: ",F66))</f>
        <v>FSA: Complete evaluation for all applicable requirements | Status: Maintain Compliance | Priority: Low</v>
      </c>
      <c r="I66" s="62"/>
      <c r="J66" s="62"/>
      <c r="K66" s="62"/>
      <c r="L66" s="62"/>
      <c r="M66" s="62"/>
      <c r="N66" s="62"/>
      <c r="O66" s="62"/>
      <c r="P66" s="62"/>
      <c r="Q66" s="62"/>
    </row>
    <row r="67" spans="1:17" ht="48">
      <c r="A67" s="75">
        <f>2</f>
        <v>2</v>
      </c>
      <c r="B67" s="75" t="str">
        <f>IFERROR(IF(LARGE($O$26:$O$52,A67)&lt;0,"",INDEX($A$26:$A$52,MATCH(LARGE($O$26:$O$52,A67),$O$26:$O$52,0))),"")</f>
        <v>EQA</v>
      </c>
      <c r="C67" s="75" t="str">
        <f>IF(B67="","",VLOOKUP(B67,$A$26:$Q$52,2,FALSE))</f>
        <v>Environment</v>
      </c>
      <c r="D67" s="64" t="s">
        <v>1606</v>
      </c>
      <c r="E67" s="75" t="str">
        <f>IF(B67="","",VLOOKUP(B67,$A$26:$Q$52,14,FALSE))</f>
        <v>Maintain Compliance</v>
      </c>
      <c r="F67" s="75" t="str">
        <f>IF(B67="","",IF(VLOOKUP(B67,$A$26:$Q$52,10,FALSE)&gt;0,"High",IF(VLOOKUP(B67,$A$26:$Q$52,11,FALSE)&gt;0,"Medium","Low")))</f>
        <v>Low</v>
      </c>
      <c r="G67" s="75" t="str">
        <f>IF(B67="","",IF(F67="High","Close non-compliance and verify evidence",IF(E67="Pending Evaluation","Complete evaluation before management review",IF(E67="Maintain Compliance","Maintain evidence and monitoring","Improve evidence and control"))))</f>
        <v>Maintain evidence and monitoring</v>
      </c>
      <c r="H67" s="75" t="str">
        <f>IF(B67="","",CONCATENATE(B67,": ",D67," | Status: ",E67," | Priority: ",F67))</f>
        <v>EQA: Verify evidence and close any gap identified | Status: Maintain Compliance | Priority: Low</v>
      </c>
      <c r="I67" s="62"/>
      <c r="J67" s="62"/>
      <c r="K67" s="62"/>
      <c r="L67" s="62"/>
      <c r="M67" s="62"/>
      <c r="N67" s="62"/>
      <c r="O67" s="62"/>
      <c r="P67" s="62"/>
      <c r="Q67" s="62"/>
    </row>
    <row r="68" spans="1:17" ht="48">
      <c r="A68" s="75">
        <f>3</f>
        <v>3</v>
      </c>
      <c r="B68" s="75" t="str">
        <f>IFERROR(IF(LARGE($O$26:$O$52,A68)&lt;0,"",INDEX($A$26:$A$52,MATCH(LARGE($O$26:$O$52,A68),$O$26:$O$52,0))),"")</f>
        <v>Noise Reg.</v>
      </c>
      <c r="C68" s="75" t="str">
        <f>IF(B68="","",VLOOKUP(B68,$A$26:$Q$52,2,FALSE))</f>
        <v>Safety &amp; Health</v>
      </c>
      <c r="D68" s="64" t="s">
        <v>1607</v>
      </c>
      <c r="E68" s="75" t="str">
        <f>IF(B68="","",VLOOKUP(B68,$A$26:$Q$52,14,FALSE))</f>
        <v>Maintain Compliance</v>
      </c>
      <c r="F68" s="75" t="str">
        <f>IF(B68="","",IF(VLOOKUP(B68,$A$26:$Q$52,10,FALSE)&gt;0,"High",IF(VLOOKUP(B68,$A$26:$Q$52,11,FALSE)&gt;0,"Medium","Low")))</f>
        <v>Low</v>
      </c>
      <c r="G68" s="75" t="str">
        <f>IF(B68="","",IF(F68="High","Close non-compliance and verify evidence",IF(E68="Pending Evaluation","Complete evaluation before management review",IF(E68="Maintain Compliance","Maintain evidence and monitoring","Improve evidence and control"))))</f>
        <v>Maintain evidence and monitoring</v>
      </c>
      <c r="H68" s="75" t="str">
        <f>IF(B68="","",CONCATENATE(B68,": ",D68," | Status: ",E68," | Priority: ",F68))</f>
        <v>Noise Reg.: Confirm legal ownership and monitoring frequency | Status: Maintain Compliance | Priority: Low</v>
      </c>
      <c r="I68" s="62"/>
      <c r="J68" s="62"/>
      <c r="K68" s="62"/>
      <c r="L68" s="62"/>
      <c r="M68" s="62"/>
      <c r="N68" s="62"/>
      <c r="O68" s="62"/>
      <c r="P68" s="62"/>
      <c r="Q68" s="62"/>
    </row>
    <row r="69" spans="1:17" ht="48">
      <c r="A69" s="75">
        <f>4</f>
        <v>4</v>
      </c>
      <c r="B69" s="75" t="str">
        <f>IFERROR(IF(LARGE($O$26:$O$52,A69)&lt;0,"",INDEX($A$26:$A$52,MATCH(LARGE($O$26:$O$52,A69),$O$26:$O$52,0))),"")</f>
        <v>NADOPOD</v>
      </c>
      <c r="C69" s="75" t="str">
        <f>IF(B69="","",VLOOKUP(B69,$A$26:$Q$52,2,FALSE))</f>
        <v>Safety &amp; Health</v>
      </c>
      <c r="D69" s="64" t="s">
        <v>1608</v>
      </c>
      <c r="E69" s="75" t="str">
        <f>IF(B69="","",VLOOKUP(B69,$A$26:$Q$52,14,FALSE))</f>
        <v>Maintain Compliance</v>
      </c>
      <c r="F69" s="75" t="str">
        <f>IF(B69="","",IF(VLOOKUP(B69,$A$26:$Q$52,10,FALSE)&gt;0,"High",IF(VLOOKUP(B69,$A$26:$Q$52,11,FALSE)&gt;0,"Medium","Low")))</f>
        <v>Low</v>
      </c>
      <c r="G69" s="75" t="str">
        <f>IF(B69="","",IF(F69="High","Close non-compliance and verify evidence",IF(E69="Pending Evaluation","Complete evaluation before management review",IF(E69="Maintain Compliance","Maintain evidence and monitoring","Improve evidence and control"))))</f>
        <v>Maintain evidence and monitoring</v>
      </c>
      <c r="H69" s="75" t="str">
        <f>IF(B69="","",CONCATENATE(B69,": ",D69," | Status: ",E69," | Priority: ",F69))</f>
        <v>NADOPOD: Review pending actions with process owner | Status: Maintain Compliance | Priority: Low</v>
      </c>
      <c r="I69" s="62"/>
      <c r="J69" s="62"/>
      <c r="K69" s="62"/>
      <c r="L69" s="62"/>
      <c r="M69" s="62"/>
      <c r="N69" s="62"/>
      <c r="O69" s="62"/>
      <c r="P69" s="62"/>
      <c r="Q69" s="62"/>
    </row>
    <row r="70" spans="1:17" ht="48">
      <c r="A70" s="75">
        <f>5</f>
        <v>5</v>
      </c>
      <c r="B70" s="75" t="str">
        <f>IFERROR(IF(LARGE($O$26:$O$52,A70)&lt;0,"",INDEX($A$26:$A$52,MATCH(LARGE($O$26:$O$52,A70),$O$26:$O$52,0))),"")</f>
        <v>OSHA</v>
      </c>
      <c r="C70" s="75" t="str">
        <f>IF(B70="","",VLOOKUP(B70,$A$26:$Q$52,2,FALSE))</f>
        <v>Safety &amp; Health</v>
      </c>
      <c r="D70" s="64" t="s">
        <v>1609</v>
      </c>
      <c r="E70" s="75" t="str">
        <f>IF(B70="","",VLOOKUP(B70,$A$26:$Q$52,14,FALSE))</f>
        <v>Maintain Compliance</v>
      </c>
      <c r="F70" s="75" t="str">
        <f>IF(B70="","",IF(VLOOKUP(B70,$A$26:$Q$52,10,FALSE)&gt;0,"High",IF(VLOOKUP(B70,$A$26:$Q$52,11,FALSE)&gt;0,"Medium","Low")))</f>
        <v>Low</v>
      </c>
      <c r="G70" s="75" t="str">
        <f>IF(B70="","",IF(F70="High","Close non-compliance and verify evidence",IF(E70="Pending Evaluation","Complete evaluation before management review",IF(E70="Maintain Compliance","Maintain evidence and monitoring","Improve evidence and control"))))</f>
        <v>Maintain evidence and monitoring</v>
      </c>
      <c r="H70" s="75" t="str">
        <f>IF(B70="","",CONCATENATE(B70,": ",D70," | Status: ",E70," | Priority: ",F70))</f>
        <v>OSHA: Maintain evidence and update compliance status | Status: Maintain Compliance | Priority: Low</v>
      </c>
      <c r="I70" s="62"/>
      <c r="J70" s="62"/>
      <c r="K70" s="62"/>
      <c r="L70" s="62"/>
      <c r="M70" s="62"/>
      <c r="N70" s="62"/>
      <c r="O70" s="62"/>
      <c r="P70" s="62"/>
      <c r="Q70" s="62"/>
    </row>
    <row r="71" spans="1:17">
      <c r="A71" s="62"/>
      <c r="B71" s="62"/>
      <c r="C71" s="62"/>
      <c r="D71" s="62"/>
      <c r="E71" s="62"/>
      <c r="F71" s="62"/>
      <c r="G71" s="62"/>
      <c r="H71" s="62"/>
      <c r="I71" s="62"/>
      <c r="J71" s="62"/>
      <c r="K71" s="62"/>
      <c r="L71" s="62"/>
      <c r="M71" s="62"/>
      <c r="N71" s="62"/>
      <c r="O71" s="62"/>
      <c r="P71" s="62"/>
      <c r="Q71" s="62"/>
    </row>
    <row r="72" spans="1:17">
      <c r="A72" s="62"/>
      <c r="B72" s="62"/>
      <c r="C72" s="62"/>
      <c r="D72" s="62"/>
      <c r="E72" s="62"/>
      <c r="F72" s="62"/>
      <c r="G72" s="62"/>
      <c r="H72" s="62"/>
      <c r="I72" s="62"/>
      <c r="J72" s="62"/>
      <c r="K72" s="62"/>
      <c r="L72" s="62"/>
      <c r="M72" s="62"/>
      <c r="N72" s="62"/>
      <c r="O72" s="62"/>
      <c r="P72" s="62"/>
      <c r="Q72" s="62"/>
    </row>
    <row r="73" spans="1:17">
      <c r="A73" s="226" t="s">
        <v>1610</v>
      </c>
      <c r="B73" s="226"/>
      <c r="C73" s="226"/>
      <c r="D73" s="226"/>
      <c r="E73" s="226"/>
      <c r="F73" s="226"/>
      <c r="G73" s="226"/>
      <c r="H73" s="226"/>
      <c r="I73" s="67"/>
      <c r="J73" s="67"/>
      <c r="K73" s="67"/>
      <c r="L73" s="67"/>
      <c r="M73" s="67"/>
      <c r="N73" s="67"/>
      <c r="O73" s="67"/>
      <c r="P73" s="67"/>
      <c r="Q73" s="67"/>
    </row>
    <row r="74" spans="1:17" ht="16" customHeight="1">
      <c r="A74" s="63" t="s">
        <v>1611</v>
      </c>
      <c r="B74" s="63" t="s">
        <v>1612</v>
      </c>
      <c r="C74" s="63" t="s">
        <v>1613</v>
      </c>
      <c r="D74" s="63" t="s">
        <v>1580</v>
      </c>
      <c r="E74" s="63" t="s">
        <v>1614</v>
      </c>
      <c r="F74" s="63" t="s">
        <v>1615</v>
      </c>
      <c r="G74" s="63" t="s">
        <v>1616</v>
      </c>
      <c r="H74" s="63" t="s">
        <v>1617</v>
      </c>
      <c r="I74" s="62"/>
      <c r="J74" s="62"/>
      <c r="K74" s="62"/>
      <c r="L74" s="62"/>
      <c r="M74" s="62"/>
      <c r="N74" s="62"/>
      <c r="O74" s="62"/>
      <c r="P74" s="62"/>
      <c r="Q74" s="62"/>
    </row>
    <row r="75" spans="1:17" ht="36">
      <c r="A75" s="75" t="s">
        <v>1618</v>
      </c>
      <c r="B75" s="75" t="e">
        <f>COUNTIFS(#REF!,"&lt;&gt;",#REF!,"Open")+COUNTIFS(#REF!,"&lt;&gt;",#REF!,"In Progress")+COUNTIFS(#REF!,"&lt;&gt;",#REF!,"Not Started")</f>
        <v>#REF!</v>
      </c>
      <c r="C75" s="75" t="s">
        <v>1619</v>
      </c>
      <c r="D75" s="75" t="s">
        <v>1620</v>
      </c>
      <c r="E75" s="75" t="s">
        <v>1621</v>
      </c>
      <c r="F75" s="75" t="s">
        <v>1622</v>
      </c>
      <c r="G75" s="75" t="s">
        <v>1623</v>
      </c>
      <c r="H75" s="75" t="s">
        <v>1624</v>
      </c>
      <c r="I75" s="62"/>
      <c r="J75" s="62"/>
      <c r="K75" s="62"/>
      <c r="L75" s="62"/>
      <c r="M75" s="62"/>
      <c r="N75" s="62"/>
      <c r="O75" s="62"/>
      <c r="P75" s="62"/>
      <c r="Q75" s="62"/>
    </row>
    <row r="76" spans="1:17" ht="36">
      <c r="A76" s="75" t="s">
        <v>1625</v>
      </c>
      <c r="B76" s="75" t="e">
        <f>COUNTIFS(#REF!,"&lt;&gt;",#REF!,"&gt;=0",#REF!,"&lt;="&amp;$C$12,#REF!,"&lt;&gt;Closed")</f>
        <v>#REF!</v>
      </c>
      <c r="C76" s="75" t="s">
        <v>1626</v>
      </c>
      <c r="D76" s="75" t="s">
        <v>1627</v>
      </c>
      <c r="E76" s="75" t="s">
        <v>1628</v>
      </c>
      <c r="F76" s="75" t="s">
        <v>1622</v>
      </c>
      <c r="G76" s="75" t="s">
        <v>1623</v>
      </c>
      <c r="H76" s="75" t="s">
        <v>1624</v>
      </c>
      <c r="I76" s="62"/>
      <c r="J76" s="62"/>
      <c r="K76" s="62"/>
      <c r="L76" s="62"/>
      <c r="M76" s="62"/>
      <c r="N76" s="62"/>
      <c r="O76" s="62"/>
      <c r="P76" s="62"/>
      <c r="Q76" s="62"/>
    </row>
    <row r="77" spans="1:17" ht="24">
      <c r="A77" s="75" t="s">
        <v>1629</v>
      </c>
      <c r="B77" s="75" t="e">
        <f>COUNTIFS(#REF!,"&lt;&gt;",#REF!,"Overdue")</f>
        <v>#REF!</v>
      </c>
      <c r="C77" s="75" t="s">
        <v>1630</v>
      </c>
      <c r="D77" s="75" t="s">
        <v>1631</v>
      </c>
      <c r="E77" s="75" t="s">
        <v>1632</v>
      </c>
      <c r="F77" s="75" t="s">
        <v>1622</v>
      </c>
      <c r="G77" s="75" t="s">
        <v>1623</v>
      </c>
      <c r="H77" s="75" t="s">
        <v>1624</v>
      </c>
      <c r="I77" s="62"/>
      <c r="J77" s="62"/>
      <c r="K77" s="62"/>
      <c r="L77" s="62"/>
      <c r="M77" s="62"/>
      <c r="N77" s="62"/>
      <c r="O77" s="62"/>
      <c r="P77" s="62"/>
      <c r="Q77" s="62"/>
    </row>
    <row r="78" spans="1:17" ht="24">
      <c r="A78" s="75" t="s">
        <v>1633</v>
      </c>
      <c r="B78" s="75" t="e">
        <f>COUNTIFS(#REF!,"&lt;&gt;",#REF!,"Closed")</f>
        <v>#REF!</v>
      </c>
      <c r="C78" s="75" t="s">
        <v>1634</v>
      </c>
      <c r="D78" s="75" t="s">
        <v>1635</v>
      </c>
      <c r="E78" s="75" t="s">
        <v>1621</v>
      </c>
      <c r="F78" s="75" t="s">
        <v>1622</v>
      </c>
      <c r="G78" s="75" t="s">
        <v>1636</v>
      </c>
      <c r="H78" s="75" t="s">
        <v>1637</v>
      </c>
      <c r="I78" s="62"/>
      <c r="J78" s="62"/>
      <c r="K78" s="62"/>
      <c r="L78" s="62"/>
      <c r="M78" s="62"/>
      <c r="N78" s="62"/>
      <c r="O78" s="62"/>
      <c r="P78" s="62"/>
      <c r="Q78" s="62"/>
    </row>
    <row r="79" spans="1:17" ht="24">
      <c r="A79" s="75" t="s">
        <v>1638</v>
      </c>
      <c r="B79" s="76" t="e">
        <f>IF(COUNTA(#REF!)=0,0,COUNTIFS(#REF!,"&lt;&gt;",#REF!,"Closed")/COUNTA(#REF!))</f>
        <v>#REF!</v>
      </c>
      <c r="C79" s="75" t="s">
        <v>1639</v>
      </c>
      <c r="D79" s="75" t="s">
        <v>1640</v>
      </c>
      <c r="E79" s="75" t="s">
        <v>1641</v>
      </c>
      <c r="F79" s="75" t="s">
        <v>1622</v>
      </c>
      <c r="G79" s="75" t="s">
        <v>1623</v>
      </c>
      <c r="H79" s="75" t="s">
        <v>1637</v>
      </c>
      <c r="I79" s="62"/>
      <c r="J79" s="62"/>
      <c r="K79" s="62"/>
      <c r="L79" s="62"/>
      <c r="M79" s="62"/>
      <c r="N79" s="62"/>
      <c r="O79" s="62"/>
      <c r="P79" s="62"/>
      <c r="Q79" s="62"/>
    </row>
    <row r="80" spans="1:17">
      <c r="A80" s="62"/>
      <c r="B80" s="62"/>
      <c r="C80" s="62"/>
      <c r="D80" s="62"/>
      <c r="E80" s="62"/>
      <c r="F80" s="62"/>
      <c r="G80" s="62"/>
      <c r="H80" s="62"/>
      <c r="I80" s="62"/>
      <c r="J80" s="62"/>
      <c r="K80" s="62"/>
      <c r="L80" s="62"/>
      <c r="M80" s="62"/>
      <c r="N80" s="62"/>
      <c r="O80" s="62"/>
      <c r="P80" s="62"/>
      <c r="Q80" s="62"/>
    </row>
    <row r="81" spans="1:17">
      <c r="A81" s="62"/>
      <c r="B81" s="62"/>
      <c r="C81" s="62"/>
      <c r="D81" s="62"/>
      <c r="E81" s="62"/>
      <c r="F81" s="62"/>
      <c r="G81" s="62"/>
      <c r="H81" s="62"/>
      <c r="I81" s="62"/>
      <c r="J81" s="62"/>
      <c r="K81" s="62"/>
      <c r="L81" s="62"/>
      <c r="M81" s="62"/>
      <c r="N81" s="62"/>
      <c r="O81" s="62"/>
      <c r="P81" s="62"/>
      <c r="Q81" s="62"/>
    </row>
    <row r="82" spans="1:17">
      <c r="A82" s="226" t="s">
        <v>1642</v>
      </c>
      <c r="B82" s="226"/>
      <c r="C82" s="226"/>
      <c r="D82" s="226"/>
      <c r="E82" s="226"/>
      <c r="F82" s="226"/>
      <c r="G82" s="226"/>
      <c r="H82" s="226"/>
      <c r="I82" s="67"/>
      <c r="J82" s="67"/>
      <c r="K82" s="67"/>
      <c r="L82" s="67"/>
      <c r="M82" s="67"/>
      <c r="N82" s="67"/>
      <c r="O82" s="67"/>
      <c r="P82" s="67"/>
      <c r="Q82" s="67"/>
    </row>
    <row r="83" spans="1:17" ht="16" customHeight="1">
      <c r="A83" s="63" t="s">
        <v>1643</v>
      </c>
      <c r="B83" s="63" t="s">
        <v>1644</v>
      </c>
      <c r="C83" s="63" t="s">
        <v>1645</v>
      </c>
      <c r="D83" s="63" t="s">
        <v>1646</v>
      </c>
      <c r="E83" s="63" t="s">
        <v>1647</v>
      </c>
      <c r="F83" s="63" t="s">
        <v>1648</v>
      </c>
      <c r="G83" s="63" t="s">
        <v>1404</v>
      </c>
      <c r="H83" s="63" t="s">
        <v>1582</v>
      </c>
      <c r="I83" s="62"/>
      <c r="J83" s="62"/>
      <c r="K83" s="62"/>
      <c r="L83" s="62"/>
      <c r="M83" s="62"/>
      <c r="N83" s="62"/>
      <c r="O83" s="62"/>
      <c r="P83" s="62"/>
      <c r="Q83" s="62"/>
    </row>
    <row r="84" spans="1:17" ht="24">
      <c r="A84" s="75" t="s">
        <v>1649</v>
      </c>
      <c r="B84" s="75" t="b">
        <f>IF(J53&gt;0,TRUE,FALSE)</f>
        <v>0</v>
      </c>
      <c r="C84" s="75" t="s">
        <v>1650</v>
      </c>
      <c r="D84" s="75" t="s">
        <v>1651</v>
      </c>
      <c r="E84" s="75" t="s">
        <v>1652</v>
      </c>
      <c r="F84" s="75" t="s">
        <v>1396</v>
      </c>
      <c r="G84" s="75" t="s">
        <v>1434</v>
      </c>
      <c r="H84" s="75" t="s">
        <v>1653</v>
      </c>
      <c r="I84" s="62"/>
      <c r="J84" s="62"/>
      <c r="K84" s="62"/>
      <c r="L84" s="62"/>
      <c r="M84" s="62"/>
      <c r="N84" s="62"/>
      <c r="O84" s="62"/>
      <c r="P84" s="62"/>
      <c r="Q84" s="62"/>
    </row>
    <row r="85" spans="1:17">
      <c r="A85" s="75" t="s">
        <v>1654</v>
      </c>
      <c r="B85" s="75" t="b">
        <f>IF(K53&gt;0,TRUE,FALSE)</f>
        <v>0</v>
      </c>
      <c r="C85" s="75" t="s">
        <v>1456</v>
      </c>
      <c r="D85" s="75" t="s">
        <v>1655</v>
      </c>
      <c r="E85" s="75" t="s">
        <v>1656</v>
      </c>
      <c r="F85" s="75" t="s">
        <v>1396</v>
      </c>
      <c r="G85" s="75" t="s">
        <v>1434</v>
      </c>
      <c r="H85" s="75" t="s">
        <v>1657</v>
      </c>
      <c r="I85" s="62"/>
      <c r="J85" s="62"/>
      <c r="K85" s="62"/>
      <c r="L85" s="62"/>
      <c r="M85" s="62"/>
      <c r="N85" s="62"/>
      <c r="O85" s="62"/>
      <c r="P85" s="62"/>
      <c r="Q85" s="62"/>
    </row>
    <row r="86" spans="1:17" ht="24">
      <c r="A86" s="75" t="s">
        <v>1658</v>
      </c>
      <c r="B86" s="75" t="b">
        <f>IF(L53&gt;=$C$11,TRUE,FALSE)</f>
        <v>1</v>
      </c>
      <c r="C86" s="75" t="s">
        <v>1659</v>
      </c>
      <c r="D86" s="75" t="s">
        <v>1660</v>
      </c>
      <c r="E86" s="75" t="s">
        <v>1661</v>
      </c>
      <c r="F86" s="75" t="s">
        <v>1396</v>
      </c>
      <c r="G86" s="75" t="s">
        <v>1434</v>
      </c>
      <c r="H86" s="75" t="s">
        <v>1662</v>
      </c>
      <c r="I86" s="62"/>
      <c r="J86" s="62"/>
      <c r="K86" s="62"/>
      <c r="L86" s="62"/>
      <c r="M86" s="62"/>
      <c r="N86" s="62"/>
      <c r="O86" s="62"/>
      <c r="P86" s="62"/>
      <c r="Q86" s="62"/>
    </row>
    <row r="87" spans="1:17">
      <c r="A87" s="75" t="s">
        <v>1663</v>
      </c>
      <c r="B87" s="75" t="e">
        <f>IF(B77&gt;0,TRUE,FALSE)</f>
        <v>#REF!</v>
      </c>
      <c r="C87" s="75" t="s">
        <v>1664</v>
      </c>
      <c r="D87" s="75" t="s">
        <v>1665</v>
      </c>
      <c r="E87" s="75" t="s">
        <v>1666</v>
      </c>
      <c r="F87" s="75" t="s">
        <v>1667</v>
      </c>
      <c r="G87" s="75" t="s">
        <v>1428</v>
      </c>
      <c r="H87" s="75" t="s">
        <v>1668</v>
      </c>
      <c r="I87" s="62"/>
      <c r="J87" s="62"/>
      <c r="K87" s="62"/>
      <c r="L87" s="62"/>
      <c r="M87" s="62"/>
      <c r="N87" s="62"/>
      <c r="O87" s="62"/>
      <c r="P87" s="62"/>
      <c r="Q87" s="62"/>
    </row>
    <row r="88" spans="1:17">
      <c r="A88" s="62"/>
      <c r="B88" s="62"/>
      <c r="C88" s="62"/>
      <c r="D88" s="62"/>
      <c r="E88" s="62"/>
      <c r="F88" s="62"/>
      <c r="G88" s="62"/>
      <c r="H88" s="62"/>
      <c r="I88" s="62"/>
      <c r="J88" s="62"/>
      <c r="K88" s="62"/>
      <c r="L88" s="62"/>
      <c r="M88" s="62"/>
      <c r="N88" s="62"/>
      <c r="O88" s="62"/>
      <c r="P88" s="62"/>
      <c r="Q88" s="62"/>
    </row>
    <row r="89" spans="1:17">
      <c r="A89" s="62"/>
      <c r="B89" s="62"/>
      <c r="C89" s="62"/>
      <c r="D89" s="62"/>
      <c r="E89" s="62"/>
      <c r="F89" s="62"/>
      <c r="G89" s="62"/>
      <c r="H89" s="62"/>
      <c r="I89" s="62"/>
      <c r="J89" s="62"/>
      <c r="K89" s="62"/>
      <c r="L89" s="62"/>
      <c r="M89" s="62"/>
      <c r="N89" s="62"/>
      <c r="O89" s="62"/>
      <c r="P89" s="62"/>
      <c r="Q89" s="62"/>
    </row>
    <row r="90" spans="1:17">
      <c r="A90" s="226" t="s">
        <v>1669</v>
      </c>
      <c r="B90" s="226"/>
      <c r="C90" s="226"/>
      <c r="D90" s="226"/>
      <c r="E90" s="226"/>
      <c r="F90" s="226"/>
      <c r="G90" s="67"/>
      <c r="H90" s="67"/>
      <c r="I90" s="67"/>
      <c r="J90" s="67"/>
      <c r="K90" s="67"/>
      <c r="L90" s="67"/>
      <c r="M90" s="67"/>
      <c r="N90" s="67"/>
      <c r="O90" s="67"/>
      <c r="P90" s="67"/>
      <c r="Q90" s="67"/>
    </row>
    <row r="91" spans="1:17" ht="16" customHeight="1">
      <c r="A91" s="63" t="s">
        <v>1670</v>
      </c>
      <c r="B91" s="63" t="s">
        <v>1671</v>
      </c>
      <c r="C91" s="63" t="s">
        <v>1367</v>
      </c>
      <c r="D91" s="63" t="s">
        <v>1672</v>
      </c>
      <c r="E91" s="63" t="s">
        <v>1673</v>
      </c>
      <c r="F91" s="63" t="s">
        <v>1674</v>
      </c>
      <c r="G91" s="62"/>
      <c r="H91" s="62"/>
      <c r="I91" s="62"/>
      <c r="J91" s="62"/>
      <c r="K91" s="62"/>
      <c r="L91" s="62"/>
      <c r="M91" s="62"/>
      <c r="N91" s="62"/>
      <c r="O91" s="62"/>
      <c r="P91" s="62"/>
      <c r="Q91" s="62"/>
    </row>
    <row r="92" spans="1:17" ht="24">
      <c r="A92" s="75" t="s">
        <v>1675</v>
      </c>
      <c r="B92" s="77">
        <f>F53</f>
        <v>571</v>
      </c>
      <c r="C92" s="75" t="s">
        <v>1676</v>
      </c>
      <c r="D92" s="75" t="s">
        <v>1677</v>
      </c>
      <c r="E92" s="75" t="s">
        <v>1678</v>
      </c>
      <c r="F92" s="75" t="s">
        <v>1452</v>
      </c>
      <c r="G92" s="62"/>
      <c r="H92" s="62"/>
      <c r="I92" s="62"/>
      <c r="J92" s="62"/>
      <c r="K92" s="62"/>
      <c r="L92" s="62"/>
      <c r="M92" s="62"/>
      <c r="N92" s="62"/>
      <c r="O92" s="62"/>
      <c r="P92" s="62"/>
      <c r="Q92" s="62"/>
    </row>
    <row r="93" spans="1:17">
      <c r="A93" s="75" t="s">
        <v>1679</v>
      </c>
      <c r="B93" s="77">
        <f>G53</f>
        <v>76</v>
      </c>
      <c r="C93" s="75" t="s">
        <v>1680</v>
      </c>
      <c r="D93" s="75" t="s">
        <v>1681</v>
      </c>
      <c r="E93" s="75" t="s">
        <v>1682</v>
      </c>
      <c r="F93" s="75" t="s">
        <v>1679</v>
      </c>
      <c r="G93" s="62"/>
      <c r="H93" s="62"/>
      <c r="I93" s="62"/>
      <c r="J93" s="62"/>
      <c r="K93" s="62"/>
      <c r="L93" s="62"/>
      <c r="M93" s="62"/>
      <c r="N93" s="62"/>
      <c r="O93" s="62"/>
      <c r="P93" s="62"/>
      <c r="Q93" s="62"/>
    </row>
    <row r="94" spans="1:17">
      <c r="A94" s="75" t="s">
        <v>1457</v>
      </c>
      <c r="B94" s="76">
        <f>L53</f>
        <v>1</v>
      </c>
      <c r="C94" s="75" t="s">
        <v>1683</v>
      </c>
      <c r="D94" s="75" t="s">
        <v>1684</v>
      </c>
      <c r="E94" s="75" t="s">
        <v>1662</v>
      </c>
      <c r="F94" s="75" t="s">
        <v>1457</v>
      </c>
      <c r="G94" s="62"/>
      <c r="H94" s="62"/>
      <c r="I94" s="62"/>
      <c r="J94" s="62"/>
      <c r="K94" s="62"/>
      <c r="L94" s="62"/>
      <c r="M94" s="62"/>
      <c r="N94" s="62"/>
      <c r="O94" s="62"/>
      <c r="P94" s="62"/>
      <c r="Q94" s="62"/>
    </row>
    <row r="95" spans="1:17">
      <c r="A95" s="75" t="s">
        <v>1456</v>
      </c>
      <c r="B95" s="77">
        <f>K53</f>
        <v>0</v>
      </c>
      <c r="C95" s="75" t="s">
        <v>1685</v>
      </c>
      <c r="D95" s="75" t="s">
        <v>1686</v>
      </c>
      <c r="E95" s="75" t="s">
        <v>1687</v>
      </c>
      <c r="F95" s="75" t="s">
        <v>1456</v>
      </c>
      <c r="G95" s="62"/>
      <c r="H95" s="62"/>
      <c r="I95" s="62"/>
      <c r="J95" s="62"/>
      <c r="K95" s="62"/>
      <c r="L95" s="62"/>
      <c r="M95" s="62"/>
      <c r="N95" s="62"/>
      <c r="O95" s="62"/>
      <c r="P95" s="62"/>
      <c r="Q95" s="62"/>
    </row>
    <row r="96" spans="1:17">
      <c r="A96" s="75" t="s">
        <v>1688</v>
      </c>
      <c r="B96" s="77">
        <f>J53</f>
        <v>0</v>
      </c>
      <c r="C96" s="75" t="s">
        <v>1689</v>
      </c>
      <c r="D96" s="75" t="s">
        <v>1690</v>
      </c>
      <c r="E96" s="75" t="s">
        <v>1691</v>
      </c>
      <c r="F96" s="75" t="s">
        <v>1688</v>
      </c>
      <c r="G96" s="62"/>
      <c r="H96" s="62"/>
      <c r="I96" s="62"/>
      <c r="J96" s="62"/>
      <c r="K96" s="62"/>
      <c r="L96" s="62"/>
      <c r="M96" s="62"/>
      <c r="N96" s="62"/>
      <c r="O96" s="62"/>
      <c r="P96" s="62"/>
      <c r="Q96" s="62"/>
    </row>
    <row r="97" spans="1:17">
      <c r="A97" s="75" t="s">
        <v>1629</v>
      </c>
      <c r="B97" s="77" t="e">
        <f>B77</f>
        <v>#REF!</v>
      </c>
      <c r="C97" s="75" t="s">
        <v>1692</v>
      </c>
      <c r="D97" s="75" t="s">
        <v>1693</v>
      </c>
      <c r="E97" s="75" t="s">
        <v>1694</v>
      </c>
      <c r="F97" s="75" t="s">
        <v>1629</v>
      </c>
      <c r="G97" s="62"/>
      <c r="H97" s="62"/>
      <c r="I97" s="62"/>
      <c r="J97" s="62"/>
      <c r="K97" s="62"/>
      <c r="L97" s="62"/>
      <c r="M97" s="62"/>
      <c r="N97" s="62"/>
      <c r="O97" s="62"/>
      <c r="P97" s="62"/>
      <c r="Q97" s="62"/>
    </row>
    <row r="98" spans="1:17">
      <c r="A98" s="75" t="s">
        <v>1695</v>
      </c>
      <c r="B98" s="77" t="e">
        <f>$C$7</f>
        <v>#REF!</v>
      </c>
      <c r="C98" s="75" t="s">
        <v>1696</v>
      </c>
      <c r="D98" s="75" t="s">
        <v>1697</v>
      </c>
      <c r="E98" s="75" t="s">
        <v>1698</v>
      </c>
      <c r="F98" s="75" t="s">
        <v>1695</v>
      </c>
      <c r="G98" s="62"/>
      <c r="H98" s="62"/>
      <c r="I98" s="62"/>
      <c r="J98" s="62"/>
      <c r="K98" s="62"/>
      <c r="L98" s="62"/>
      <c r="M98" s="62"/>
      <c r="N98" s="62"/>
      <c r="O98" s="62"/>
      <c r="P98" s="62"/>
      <c r="Q98" s="62"/>
    </row>
    <row r="99" spans="1:17">
      <c r="A99" s="62"/>
      <c r="B99" s="62"/>
      <c r="C99" s="62"/>
      <c r="D99" s="62"/>
      <c r="E99" s="62"/>
      <c r="F99" s="62"/>
      <c r="G99" s="62"/>
      <c r="H99" s="62"/>
      <c r="I99" s="62"/>
      <c r="J99" s="62"/>
      <c r="K99" s="62"/>
      <c r="L99" s="62"/>
      <c r="M99" s="62"/>
      <c r="N99" s="62"/>
      <c r="O99" s="62"/>
      <c r="P99" s="62"/>
      <c r="Q99" s="62"/>
    </row>
    <row r="100" spans="1:17">
      <c r="A100" s="62"/>
      <c r="B100" s="62"/>
      <c r="C100" s="62"/>
      <c r="D100" s="62"/>
      <c r="E100" s="62"/>
      <c r="F100" s="62"/>
      <c r="G100" s="62"/>
      <c r="H100" s="62"/>
      <c r="I100" s="62"/>
      <c r="J100" s="62"/>
      <c r="K100" s="62"/>
      <c r="L100" s="62"/>
      <c r="M100" s="62"/>
      <c r="N100" s="62"/>
      <c r="O100" s="62"/>
      <c r="P100" s="62"/>
      <c r="Q100" s="62"/>
    </row>
    <row r="101" spans="1:17">
      <c r="A101" s="226" t="s">
        <v>1699</v>
      </c>
      <c r="B101" s="226"/>
      <c r="C101" s="226"/>
      <c r="D101" s="226"/>
      <c r="E101" s="226"/>
      <c r="F101" s="226"/>
      <c r="G101" s="67"/>
      <c r="H101" s="67"/>
      <c r="I101" s="67"/>
      <c r="J101" s="67"/>
      <c r="K101" s="67"/>
      <c r="L101" s="67"/>
      <c r="M101" s="67"/>
      <c r="N101" s="67"/>
      <c r="O101" s="67"/>
      <c r="P101" s="67"/>
      <c r="Q101" s="67"/>
    </row>
    <row r="102" spans="1:17" ht="16" customHeight="1">
      <c r="A102" s="63" t="s">
        <v>1700</v>
      </c>
      <c r="B102" s="63" t="s">
        <v>1701</v>
      </c>
      <c r="C102" s="63" t="s">
        <v>1702</v>
      </c>
      <c r="D102" s="63" t="s">
        <v>1703</v>
      </c>
      <c r="E102" s="63" t="s">
        <v>1704</v>
      </c>
      <c r="F102" s="63" t="s">
        <v>1705</v>
      </c>
      <c r="G102" s="62"/>
      <c r="H102" s="62"/>
      <c r="I102" s="62"/>
      <c r="J102" s="62"/>
      <c r="K102" s="62"/>
      <c r="L102" s="62"/>
      <c r="M102" s="62"/>
      <c r="N102" s="62"/>
      <c r="O102" s="62"/>
      <c r="P102" s="62"/>
      <c r="Q102" s="62"/>
    </row>
    <row r="103" spans="1:17">
      <c r="A103" s="75" t="s">
        <v>1692</v>
      </c>
      <c r="B103" s="75" t="s">
        <v>1706</v>
      </c>
      <c r="C103" s="75" t="s">
        <v>1707</v>
      </c>
      <c r="D103" s="75" t="s">
        <v>1708</v>
      </c>
      <c r="E103" s="75" t="s">
        <v>1709</v>
      </c>
      <c r="F103" s="75" t="s">
        <v>1710</v>
      </c>
      <c r="G103" s="62"/>
      <c r="H103" s="62"/>
      <c r="I103" s="62"/>
      <c r="J103" s="62"/>
      <c r="K103" s="62"/>
      <c r="L103" s="62"/>
      <c r="M103" s="62"/>
      <c r="N103" s="62"/>
      <c r="O103" s="62"/>
      <c r="P103" s="62"/>
      <c r="Q103" s="62"/>
    </row>
    <row r="104" spans="1:17" ht="24">
      <c r="A104" s="75" t="s">
        <v>1711</v>
      </c>
      <c r="B104" s="75" t="s">
        <v>1712</v>
      </c>
      <c r="C104" s="75" t="s">
        <v>1713</v>
      </c>
      <c r="D104" s="75" t="s">
        <v>1714</v>
      </c>
      <c r="E104" s="75" t="s">
        <v>1715</v>
      </c>
      <c r="F104" s="75" t="s">
        <v>1710</v>
      </c>
      <c r="G104" s="62"/>
      <c r="H104" s="62"/>
      <c r="I104" s="62"/>
      <c r="J104" s="62"/>
      <c r="K104" s="62"/>
      <c r="L104" s="62"/>
      <c r="M104" s="62"/>
      <c r="N104" s="62"/>
      <c r="O104" s="62"/>
      <c r="P104" s="62"/>
      <c r="Q104" s="62"/>
    </row>
    <row r="105" spans="1:17" ht="24">
      <c r="A105" s="75" t="s">
        <v>1396</v>
      </c>
      <c r="B105" s="75" t="s">
        <v>1716</v>
      </c>
      <c r="C105" s="75" t="s">
        <v>1717</v>
      </c>
      <c r="D105" s="75" t="s">
        <v>1718</v>
      </c>
      <c r="E105" s="75" t="s">
        <v>1719</v>
      </c>
      <c r="F105" s="75" t="s">
        <v>1720</v>
      </c>
      <c r="G105" s="62"/>
      <c r="H105" s="62"/>
      <c r="I105" s="62"/>
      <c r="J105" s="62"/>
      <c r="K105" s="62"/>
      <c r="L105" s="62"/>
      <c r="M105" s="62"/>
      <c r="N105" s="62"/>
      <c r="O105" s="62"/>
      <c r="P105" s="62"/>
      <c r="Q105" s="62"/>
    </row>
    <row r="106" spans="1:17" ht="24">
      <c r="A106" s="75" t="s">
        <v>1721</v>
      </c>
      <c r="B106" s="75" t="s">
        <v>1722</v>
      </c>
      <c r="C106" s="75" t="s">
        <v>1723</v>
      </c>
      <c r="D106" s="75" t="s">
        <v>1724</v>
      </c>
      <c r="E106" s="75" t="s">
        <v>1725</v>
      </c>
      <c r="F106" s="75" t="s">
        <v>1726</v>
      </c>
      <c r="G106" s="62"/>
      <c r="H106" s="62"/>
      <c r="I106" s="62"/>
      <c r="J106" s="62"/>
      <c r="K106" s="62"/>
      <c r="L106" s="62"/>
      <c r="M106" s="62"/>
      <c r="N106" s="62"/>
      <c r="O106" s="62"/>
      <c r="P106" s="62"/>
      <c r="Q106" s="62"/>
    </row>
    <row r="107" spans="1:17" ht="24">
      <c r="A107" s="75" t="s">
        <v>1727</v>
      </c>
      <c r="B107" s="75" t="s">
        <v>1728</v>
      </c>
      <c r="C107" s="75" t="s">
        <v>1729</v>
      </c>
      <c r="D107" s="75" t="s">
        <v>1730</v>
      </c>
      <c r="E107" s="75" t="s">
        <v>1731</v>
      </c>
      <c r="F107" s="75" t="s">
        <v>1732</v>
      </c>
      <c r="G107" s="62"/>
      <c r="H107" s="62"/>
      <c r="I107" s="62"/>
      <c r="J107" s="62"/>
      <c r="K107" s="62"/>
      <c r="L107" s="62"/>
      <c r="M107" s="62"/>
      <c r="N107" s="62"/>
      <c r="O107" s="62"/>
      <c r="P107" s="62"/>
      <c r="Q107" s="62"/>
    </row>
    <row r="108" spans="1:17" ht="24">
      <c r="A108" s="75" t="s">
        <v>1733</v>
      </c>
      <c r="B108" s="75" t="s">
        <v>1734</v>
      </c>
      <c r="C108" s="75" t="s">
        <v>1735</v>
      </c>
      <c r="D108" s="75" t="s">
        <v>1736</v>
      </c>
      <c r="E108" s="75" t="s">
        <v>1731</v>
      </c>
      <c r="F108" s="75" t="s">
        <v>1737</v>
      </c>
      <c r="G108" s="62"/>
      <c r="H108" s="62"/>
      <c r="I108" s="62"/>
      <c r="J108" s="62"/>
      <c r="K108" s="62"/>
      <c r="L108" s="62"/>
      <c r="M108" s="62"/>
      <c r="N108" s="62"/>
      <c r="O108" s="62"/>
      <c r="P108" s="62"/>
      <c r="Q108" s="62"/>
    </row>
    <row r="109" spans="1:17" ht="24">
      <c r="A109" s="75" t="s">
        <v>1372</v>
      </c>
      <c r="B109" s="75" t="s">
        <v>1738</v>
      </c>
      <c r="C109" s="75" t="s">
        <v>1739</v>
      </c>
      <c r="D109" s="75" t="s">
        <v>1740</v>
      </c>
      <c r="E109" s="75" t="s">
        <v>1741</v>
      </c>
      <c r="F109" s="75" t="s">
        <v>1742</v>
      </c>
      <c r="G109" s="62"/>
      <c r="H109" s="62"/>
      <c r="I109" s="62"/>
      <c r="J109" s="62"/>
      <c r="K109" s="62"/>
      <c r="L109" s="62"/>
      <c r="M109" s="62"/>
      <c r="N109" s="62"/>
      <c r="O109" s="62"/>
      <c r="P109" s="62"/>
      <c r="Q109" s="62"/>
    </row>
    <row r="110" spans="1:17">
      <c r="A110" s="75" t="s">
        <v>1743</v>
      </c>
      <c r="B110" s="75" t="s">
        <v>1744</v>
      </c>
      <c r="C110" s="75" t="s">
        <v>1745</v>
      </c>
      <c r="D110" s="75" t="s">
        <v>1746</v>
      </c>
      <c r="E110" s="75" t="s">
        <v>1747</v>
      </c>
      <c r="F110" s="75" t="s">
        <v>1748</v>
      </c>
      <c r="G110" s="62"/>
      <c r="H110" s="62"/>
      <c r="I110" s="62"/>
      <c r="J110" s="62"/>
      <c r="K110" s="62"/>
      <c r="L110" s="62"/>
      <c r="M110" s="62"/>
      <c r="N110" s="62"/>
      <c r="O110" s="62"/>
      <c r="P110" s="62"/>
      <c r="Q110" s="62"/>
    </row>
    <row r="111" spans="1:17">
      <c r="A111" s="62"/>
      <c r="B111" s="62"/>
      <c r="C111" s="62"/>
      <c r="D111" s="62"/>
      <c r="E111" s="62"/>
      <c r="F111" s="62"/>
      <c r="G111" s="62"/>
      <c r="H111" s="62"/>
      <c r="I111" s="62"/>
      <c r="J111" s="62"/>
      <c r="K111" s="62"/>
      <c r="L111" s="62"/>
      <c r="M111" s="62"/>
      <c r="N111" s="62"/>
      <c r="O111" s="62"/>
      <c r="P111" s="62"/>
      <c r="Q111" s="62"/>
    </row>
    <row r="112" spans="1:17">
      <c r="A112" s="62"/>
      <c r="B112" s="62"/>
      <c r="C112" s="62"/>
      <c r="D112" s="62"/>
      <c r="E112" s="62"/>
      <c r="F112" s="62"/>
      <c r="G112" s="62"/>
      <c r="H112" s="62"/>
      <c r="I112" s="62"/>
      <c r="J112" s="62"/>
      <c r="K112" s="62"/>
      <c r="L112" s="62"/>
      <c r="M112" s="62"/>
      <c r="N112" s="62"/>
      <c r="O112" s="62"/>
      <c r="P112" s="62"/>
      <c r="Q112" s="62"/>
    </row>
    <row r="113" spans="1:17">
      <c r="A113" s="62"/>
      <c r="B113" s="62"/>
      <c r="C113" s="62"/>
      <c r="D113" s="62"/>
      <c r="E113" s="62"/>
      <c r="F113" s="62"/>
      <c r="G113" s="62"/>
      <c r="H113" s="62"/>
      <c r="I113" s="62"/>
      <c r="J113" s="62"/>
      <c r="K113" s="62"/>
      <c r="L113" s="62"/>
      <c r="M113" s="62"/>
      <c r="N113" s="62"/>
      <c r="O113" s="62"/>
      <c r="P113" s="62"/>
      <c r="Q113" s="62"/>
    </row>
    <row r="114" spans="1:17">
      <c r="A114" s="62"/>
      <c r="B114" s="62"/>
      <c r="C114" s="62"/>
      <c r="D114" s="62"/>
      <c r="E114" s="62"/>
      <c r="F114" s="62"/>
      <c r="G114" s="62"/>
      <c r="H114" s="62"/>
      <c r="I114" s="62"/>
      <c r="J114" s="62"/>
      <c r="K114" s="62"/>
      <c r="L114" s="62"/>
      <c r="M114" s="62"/>
      <c r="N114" s="62"/>
      <c r="O114" s="62"/>
      <c r="P114" s="62"/>
      <c r="Q114" s="62"/>
    </row>
    <row r="115" spans="1:17">
      <c r="A115" s="62"/>
      <c r="B115" s="62"/>
      <c r="C115" s="62"/>
      <c r="D115" s="62"/>
      <c r="E115" s="62"/>
      <c r="F115" s="62"/>
      <c r="G115" s="62"/>
      <c r="H115" s="62"/>
      <c r="I115" s="62"/>
      <c r="J115" s="62"/>
      <c r="K115" s="62"/>
      <c r="L115" s="62"/>
      <c r="M115" s="62"/>
      <c r="N115" s="62"/>
      <c r="O115" s="62"/>
      <c r="P115" s="62"/>
      <c r="Q115" s="62"/>
    </row>
    <row r="116" spans="1:17">
      <c r="A116" s="62"/>
      <c r="B116" s="62"/>
      <c r="C116" s="62"/>
      <c r="D116" s="62"/>
      <c r="E116" s="62"/>
      <c r="F116" s="62"/>
      <c r="G116" s="62"/>
      <c r="H116" s="62"/>
      <c r="I116" s="62"/>
      <c r="J116" s="62"/>
      <c r="K116" s="62"/>
      <c r="L116" s="62"/>
      <c r="M116" s="62"/>
      <c r="N116" s="62"/>
      <c r="O116" s="62"/>
      <c r="P116" s="62"/>
      <c r="Q116" s="62"/>
    </row>
    <row r="117" spans="1:17">
      <c r="A117" s="62"/>
      <c r="B117" s="62"/>
      <c r="C117" s="62"/>
      <c r="D117" s="62"/>
      <c r="E117" s="62"/>
      <c r="F117" s="62"/>
      <c r="G117" s="62"/>
      <c r="H117" s="62"/>
      <c r="I117" s="62"/>
      <c r="J117" s="62"/>
      <c r="K117" s="62"/>
      <c r="L117" s="62"/>
      <c r="M117" s="62"/>
      <c r="N117" s="62"/>
      <c r="O117" s="62"/>
      <c r="P117" s="62"/>
      <c r="Q117" s="62"/>
    </row>
    <row r="118" spans="1:17">
      <c r="A118" s="62"/>
      <c r="B118" s="62"/>
      <c r="C118" s="62"/>
      <c r="D118" s="62"/>
      <c r="E118" s="62"/>
      <c r="F118" s="62"/>
      <c r="G118" s="62"/>
      <c r="H118" s="62"/>
      <c r="I118" s="62"/>
      <c r="J118" s="62"/>
      <c r="K118" s="62"/>
      <c r="L118" s="62"/>
      <c r="M118" s="62"/>
      <c r="N118" s="62"/>
      <c r="O118" s="62"/>
      <c r="P118" s="62"/>
      <c r="Q118" s="62"/>
    </row>
    <row r="119" spans="1:17">
      <c r="A119" s="62"/>
      <c r="B119" s="62"/>
      <c r="C119" s="62"/>
      <c r="D119" s="62"/>
      <c r="E119" s="62"/>
      <c r="F119" s="62"/>
      <c r="G119" s="62"/>
      <c r="H119" s="62"/>
      <c r="I119" s="62"/>
      <c r="J119" s="62"/>
      <c r="K119" s="62"/>
      <c r="L119" s="62"/>
      <c r="M119" s="62"/>
      <c r="N119" s="62"/>
      <c r="O119" s="62"/>
      <c r="P119" s="62"/>
      <c r="Q119" s="62"/>
    </row>
    <row r="120" spans="1:17">
      <c r="A120" s="62"/>
      <c r="B120" s="62"/>
      <c r="C120" s="62"/>
      <c r="D120" s="62"/>
      <c r="E120" s="62"/>
      <c r="F120" s="62"/>
      <c r="G120" s="62"/>
      <c r="H120" s="62"/>
      <c r="I120" s="62"/>
      <c r="J120" s="62"/>
      <c r="K120" s="62"/>
      <c r="L120" s="62"/>
      <c r="M120" s="62"/>
      <c r="N120" s="62"/>
      <c r="O120" s="62"/>
      <c r="P120" s="62"/>
      <c r="Q120" s="62"/>
    </row>
  </sheetData>
  <mergeCells count="10">
    <mergeCell ref="A73:H73"/>
    <mergeCell ref="A82:H82"/>
    <mergeCell ref="A90:F90"/>
    <mergeCell ref="A101:F101"/>
    <mergeCell ref="A1:Q1"/>
    <mergeCell ref="A2:Q2"/>
    <mergeCell ref="A24:Q24"/>
    <mergeCell ref="A56:G56"/>
    <mergeCell ref="A64:H64"/>
    <mergeCell ref="A14:F14"/>
  </mergeCells>
  <conditionalFormatting sqref="F66:F70">
    <cfRule type="expression" dxfId="288" priority="4">
      <formula>F66="High"</formula>
    </cfRule>
    <cfRule type="expression" dxfId="287" priority="5">
      <formula>F66="Medium"</formula>
    </cfRule>
    <cfRule type="expression" dxfId="286" priority="6">
      <formula>F66="Low"</formula>
    </cfRule>
  </conditionalFormatting>
  <conditionalFormatting sqref="N26:N53">
    <cfRule type="expression" dxfId="285" priority="1">
      <formula>N26="Action Required"</formula>
    </cfRule>
    <cfRule type="expression" dxfId="284" priority="2">
      <formula>N26="Pending Evaluation"</formula>
    </cfRule>
    <cfRule type="expression" dxfId="283" priority="3">
      <formula>N26="Maintain Compliance"</formula>
    </cfRule>
  </conditionalFormatting>
  <dataValidations count="2">
    <dataValidation type="decimal" sqref="C11" xr:uid="{1D9180E4-B54B-4C15-B4BC-43D425576B02}">
      <formula1>0</formula1>
      <formula2>1</formula2>
    </dataValidation>
    <dataValidation type="list" sqref="B26:B46 B48:B52 B47" xr:uid="{8B3F665E-3677-4A51-8C84-0704A5D45BA4}">
      <formula1>"Safety &amp; Health,Environment,Fire Safety,Water / Sewerage,Construction,Others"</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6D66-D560-426F-8509-67045C7AB8F5}">
  <dimension ref="A1"/>
  <sheetViews>
    <sheetView topLeftCell="A28" workbookViewId="0">
      <selection activeCell="X45" sqref="X45"/>
    </sheetView>
  </sheetViews>
  <sheetFormatPr defaultRowHeight="14.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87D20-5F70-40D4-8344-6235A36E68D7}">
  <dimension ref="A3:AB13"/>
  <sheetViews>
    <sheetView topLeftCell="C1" workbookViewId="0">
      <selection activeCell="I20" sqref="I20"/>
    </sheetView>
  </sheetViews>
  <sheetFormatPr defaultRowHeight="14.5"/>
  <sheetData>
    <row r="3" spans="1:28">
      <c r="A3" t="s">
        <v>1463</v>
      </c>
      <c r="B3" t="s">
        <v>1551</v>
      </c>
      <c r="C3" t="s">
        <v>1500</v>
      </c>
      <c r="D3" t="s">
        <v>1509</v>
      </c>
      <c r="E3" t="s">
        <v>1521</v>
      </c>
      <c r="F3" t="s">
        <v>1555</v>
      </c>
      <c r="G3" t="s">
        <v>2300</v>
      </c>
      <c r="H3" t="s">
        <v>2311</v>
      </c>
      <c r="I3" t="s">
        <v>1496</v>
      </c>
      <c r="J3" t="s">
        <v>2332</v>
      </c>
      <c r="K3" t="s">
        <v>2343</v>
      </c>
      <c r="L3" t="s">
        <v>2354</v>
      </c>
      <c r="M3" t="s">
        <v>2365</v>
      </c>
      <c r="N3" t="s">
        <v>1505</v>
      </c>
      <c r="O3" t="s">
        <v>1867</v>
      </c>
      <c r="P3" t="s">
        <v>2396</v>
      </c>
      <c r="Q3" t="s">
        <v>1533</v>
      </c>
      <c r="R3" t="s">
        <v>1537</v>
      </c>
      <c r="S3" t="s">
        <v>2427</v>
      </c>
      <c r="T3" t="s">
        <v>2010</v>
      </c>
      <c r="U3" t="s">
        <v>1547</v>
      </c>
      <c r="V3" t="s">
        <v>1560</v>
      </c>
      <c r="W3" t="s">
        <v>2468</v>
      </c>
      <c r="X3" t="s">
        <v>581</v>
      </c>
      <c r="Y3" t="s">
        <v>2489</v>
      </c>
      <c r="Z3" t="s">
        <v>1469</v>
      </c>
      <c r="AA3" t="s">
        <v>2063</v>
      </c>
      <c r="AB3" t="s">
        <v>1513</v>
      </c>
    </row>
    <row r="4" spans="1:28">
      <c r="A4" t="s">
        <v>2240</v>
      </c>
      <c r="B4" t="s">
        <v>2250</v>
      </c>
      <c r="C4" t="s">
        <v>2260</v>
      </c>
      <c r="D4" t="s">
        <v>2270</v>
      </c>
      <c r="E4" t="s">
        <v>2280</v>
      </c>
      <c r="F4" t="s">
        <v>2290</v>
      </c>
      <c r="G4" t="s">
        <v>2301</v>
      </c>
      <c r="H4" t="s">
        <v>2312</v>
      </c>
      <c r="I4" t="s">
        <v>2322</v>
      </c>
      <c r="J4" t="s">
        <v>2333</v>
      </c>
      <c r="K4" t="s">
        <v>2344</v>
      </c>
      <c r="L4" t="s">
        <v>2355</v>
      </c>
      <c r="M4" t="s">
        <v>2366</v>
      </c>
      <c r="N4" t="s">
        <v>2376</v>
      </c>
      <c r="O4" t="s">
        <v>2386</v>
      </c>
      <c r="P4" t="s">
        <v>2397</v>
      </c>
      <c r="Q4" t="s">
        <v>2407</v>
      </c>
      <c r="R4" t="s">
        <v>2417</v>
      </c>
      <c r="S4" t="s">
        <v>2428</v>
      </c>
      <c r="T4" t="s">
        <v>2438</v>
      </c>
      <c r="U4" t="s">
        <v>2448</v>
      </c>
      <c r="V4" t="s">
        <v>2458</v>
      </c>
      <c r="W4" t="s">
        <v>2469</v>
      </c>
      <c r="X4" t="s">
        <v>2479</v>
      </c>
      <c r="Y4" t="s">
        <v>2490</v>
      </c>
      <c r="Z4" t="s">
        <v>2500</v>
      </c>
      <c r="AA4" t="s">
        <v>2510</v>
      </c>
      <c r="AB4" t="s">
        <v>2520</v>
      </c>
    </row>
    <row r="5" spans="1:28">
      <c r="A5" t="s">
        <v>2241</v>
      </c>
      <c r="B5" t="s">
        <v>2251</v>
      </c>
      <c r="C5" t="s">
        <v>2261</v>
      </c>
      <c r="D5" t="s">
        <v>2271</v>
      </c>
      <c r="E5" t="s">
        <v>2281</v>
      </c>
      <c r="F5" t="s">
        <v>2291</v>
      </c>
      <c r="G5" t="s">
        <v>2302</v>
      </c>
      <c r="H5" t="s">
        <v>2313</v>
      </c>
      <c r="I5" t="s">
        <v>2323</v>
      </c>
      <c r="J5" t="s">
        <v>2334</v>
      </c>
      <c r="K5" t="s">
        <v>2345</v>
      </c>
      <c r="L5" t="s">
        <v>2356</v>
      </c>
      <c r="M5" t="s">
        <v>2367</v>
      </c>
      <c r="N5" t="s">
        <v>2377</v>
      </c>
      <c r="O5" t="s">
        <v>2387</v>
      </c>
      <c r="P5" t="s">
        <v>2398</v>
      </c>
      <c r="Q5" t="s">
        <v>2408</v>
      </c>
      <c r="R5" t="s">
        <v>2418</v>
      </c>
      <c r="S5" t="s">
        <v>2429</v>
      </c>
      <c r="T5" t="s">
        <v>2439</v>
      </c>
      <c r="U5" t="s">
        <v>2449</v>
      </c>
      <c r="V5" t="s">
        <v>2459</v>
      </c>
      <c r="W5" t="s">
        <v>2470</v>
      </c>
      <c r="X5" t="s">
        <v>2480</v>
      </c>
      <c r="Y5" t="s">
        <v>2491</v>
      </c>
      <c r="Z5" t="s">
        <v>2501</v>
      </c>
      <c r="AA5" t="s">
        <v>2511</v>
      </c>
      <c r="AB5" t="s">
        <v>2521</v>
      </c>
    </row>
    <row r="6" spans="1:28">
      <c r="A6" t="s">
        <v>2242</v>
      </c>
      <c r="B6" t="s">
        <v>2252</v>
      </c>
      <c r="C6" t="s">
        <v>2262</v>
      </c>
      <c r="D6" t="s">
        <v>2272</v>
      </c>
      <c r="E6" t="s">
        <v>2282</v>
      </c>
      <c r="F6" t="s">
        <v>2292</v>
      </c>
      <c r="G6" t="s">
        <v>2303</v>
      </c>
      <c r="H6" t="s">
        <v>2314</v>
      </c>
      <c r="I6" t="s">
        <v>2324</v>
      </c>
      <c r="J6" t="s">
        <v>2335</v>
      </c>
      <c r="K6" t="s">
        <v>2346</v>
      </c>
      <c r="L6" t="s">
        <v>2357</v>
      </c>
      <c r="M6" t="s">
        <v>2368</v>
      </c>
      <c r="N6" t="s">
        <v>2378</v>
      </c>
      <c r="O6" t="s">
        <v>2388</v>
      </c>
      <c r="P6" t="s">
        <v>2399</v>
      </c>
      <c r="Q6" t="s">
        <v>2409</v>
      </c>
      <c r="R6" t="s">
        <v>2419</v>
      </c>
      <c r="S6" t="s">
        <v>2430</v>
      </c>
      <c r="T6" t="s">
        <v>2440</v>
      </c>
      <c r="U6" t="s">
        <v>2450</v>
      </c>
      <c r="V6" t="s">
        <v>2460</v>
      </c>
      <c r="W6" t="s">
        <v>2471</v>
      </c>
      <c r="X6" t="s">
        <v>2481</v>
      </c>
      <c r="Y6" t="s">
        <v>2492</v>
      </c>
      <c r="Z6" t="s">
        <v>2502</v>
      </c>
      <c r="AA6" t="s">
        <v>2512</v>
      </c>
      <c r="AB6" t="s">
        <v>2522</v>
      </c>
    </row>
    <row r="7" spans="1:28">
      <c r="A7" t="s">
        <v>2243</v>
      </c>
      <c r="B7" t="s">
        <v>2253</v>
      </c>
      <c r="C7" t="s">
        <v>2263</v>
      </c>
      <c r="D7" t="s">
        <v>2273</v>
      </c>
      <c r="E7" t="s">
        <v>2283</v>
      </c>
      <c r="F7" t="s">
        <v>2293</v>
      </c>
      <c r="G7" t="s">
        <v>2304</v>
      </c>
      <c r="H7" t="s">
        <v>2315</v>
      </c>
      <c r="I7" t="s">
        <v>2325</v>
      </c>
      <c r="J7" t="s">
        <v>2336</v>
      </c>
      <c r="K7" t="s">
        <v>2347</v>
      </c>
      <c r="L7" t="s">
        <v>2358</v>
      </c>
      <c r="M7" t="s">
        <v>2369</v>
      </c>
      <c r="N7" t="s">
        <v>2379</v>
      </c>
      <c r="O7" t="s">
        <v>2389</v>
      </c>
      <c r="P7" t="s">
        <v>2400</v>
      </c>
      <c r="Q7" t="s">
        <v>2410</v>
      </c>
      <c r="R7" t="s">
        <v>2420</v>
      </c>
      <c r="S7" t="s">
        <v>2431</v>
      </c>
      <c r="T7" t="s">
        <v>2441</v>
      </c>
      <c r="U7" t="s">
        <v>2451</v>
      </c>
      <c r="V7" t="s">
        <v>2461</v>
      </c>
      <c r="W7" t="s">
        <v>2472</v>
      </c>
      <c r="X7" t="s">
        <v>2482</v>
      </c>
      <c r="Y7" t="s">
        <v>2493</v>
      </c>
      <c r="Z7" t="s">
        <v>2503</v>
      </c>
      <c r="AA7" t="s">
        <v>2513</v>
      </c>
      <c r="AB7" t="s">
        <v>2523</v>
      </c>
    </row>
    <row r="8" spans="1:28">
      <c r="A8" t="s">
        <v>2244</v>
      </c>
      <c r="B8" t="s">
        <v>2254</v>
      </c>
      <c r="C8" t="s">
        <v>2264</v>
      </c>
      <c r="D8" t="s">
        <v>2274</v>
      </c>
      <c r="E8" t="s">
        <v>2284</v>
      </c>
      <c r="F8" t="s">
        <v>2294</v>
      </c>
      <c r="G8" t="s">
        <v>2305</v>
      </c>
      <c r="H8" t="s">
        <v>2316</v>
      </c>
      <c r="I8" t="s">
        <v>2326</v>
      </c>
      <c r="J8" t="s">
        <v>2337</v>
      </c>
      <c r="K8" t="s">
        <v>2348</v>
      </c>
      <c r="L8" t="s">
        <v>2359</v>
      </c>
      <c r="M8" t="s">
        <v>2370</v>
      </c>
      <c r="N8" t="s">
        <v>2380</v>
      </c>
      <c r="O8" t="s">
        <v>2390</v>
      </c>
      <c r="P8" t="s">
        <v>2401</v>
      </c>
      <c r="Q8" t="s">
        <v>2411</v>
      </c>
      <c r="R8" t="s">
        <v>2421</v>
      </c>
      <c r="S8" t="s">
        <v>2432</v>
      </c>
      <c r="T8" t="s">
        <v>2442</v>
      </c>
      <c r="U8" t="s">
        <v>2452</v>
      </c>
      <c r="V8" t="s">
        <v>2462</v>
      </c>
      <c r="W8" t="s">
        <v>2473</v>
      </c>
      <c r="X8" t="s">
        <v>2483</v>
      </c>
      <c r="Y8" t="s">
        <v>2494</v>
      </c>
      <c r="Z8" t="s">
        <v>2504</v>
      </c>
      <c r="AA8" t="s">
        <v>2514</v>
      </c>
      <c r="AB8" t="s">
        <v>2524</v>
      </c>
    </row>
    <row r="9" spans="1:28">
      <c r="A9" t="s">
        <v>2245</v>
      </c>
      <c r="B9" t="s">
        <v>2255</v>
      </c>
      <c r="C9" t="s">
        <v>2265</v>
      </c>
      <c r="D9" t="s">
        <v>2275</v>
      </c>
      <c r="E9" t="s">
        <v>2285</v>
      </c>
      <c r="F9" t="s">
        <v>2295</v>
      </c>
      <c r="G9" t="s">
        <v>2306</v>
      </c>
      <c r="H9" t="s">
        <v>2317</v>
      </c>
      <c r="I9" t="s">
        <v>2327</v>
      </c>
      <c r="J9" t="s">
        <v>2338</v>
      </c>
      <c r="K9" t="s">
        <v>2349</v>
      </c>
      <c r="L9" t="s">
        <v>2360</v>
      </c>
      <c r="M9" t="s">
        <v>2371</v>
      </c>
      <c r="N9" t="s">
        <v>2381</v>
      </c>
      <c r="O9" t="s">
        <v>2391</v>
      </c>
      <c r="P9" t="s">
        <v>2402</v>
      </c>
      <c r="Q9" t="s">
        <v>2412</v>
      </c>
      <c r="R9" t="s">
        <v>2422</v>
      </c>
      <c r="S9" t="s">
        <v>2433</v>
      </c>
      <c r="T9" t="s">
        <v>2443</v>
      </c>
      <c r="U9" t="s">
        <v>2453</v>
      </c>
      <c r="V9" t="s">
        <v>2463</v>
      </c>
      <c r="W9" t="s">
        <v>2474</v>
      </c>
      <c r="X9" t="s">
        <v>2484</v>
      </c>
      <c r="Y9" t="s">
        <v>2495</v>
      </c>
      <c r="Z9" t="s">
        <v>2505</v>
      </c>
      <c r="AA9" t="s">
        <v>2515</v>
      </c>
      <c r="AB9" t="s">
        <v>2525</v>
      </c>
    </row>
    <row r="10" spans="1:28">
      <c r="A10" t="s">
        <v>2246</v>
      </c>
      <c r="B10" t="s">
        <v>2256</v>
      </c>
      <c r="C10" t="s">
        <v>2266</v>
      </c>
      <c r="D10" t="s">
        <v>2276</v>
      </c>
      <c r="E10" t="s">
        <v>2286</v>
      </c>
      <c r="F10" t="s">
        <v>2296</v>
      </c>
      <c r="G10" t="s">
        <v>2307</v>
      </c>
      <c r="H10" t="s">
        <v>2318</v>
      </c>
      <c r="I10" t="s">
        <v>2328</v>
      </c>
      <c r="J10" t="s">
        <v>2339</v>
      </c>
      <c r="K10" t="s">
        <v>2350</v>
      </c>
      <c r="L10" t="s">
        <v>2361</v>
      </c>
      <c r="M10" t="s">
        <v>2372</v>
      </c>
      <c r="N10" t="s">
        <v>2382</v>
      </c>
      <c r="O10" t="s">
        <v>2392</v>
      </c>
      <c r="P10" t="s">
        <v>2403</v>
      </c>
      <c r="Q10" t="s">
        <v>2413</v>
      </c>
      <c r="R10" t="s">
        <v>2423</v>
      </c>
      <c r="S10" t="s">
        <v>2434</v>
      </c>
      <c r="T10" t="s">
        <v>2444</v>
      </c>
      <c r="U10" t="s">
        <v>2454</v>
      </c>
      <c r="V10" t="s">
        <v>2464</v>
      </c>
      <c r="W10" t="s">
        <v>2475</v>
      </c>
      <c r="X10" t="s">
        <v>2485</v>
      </c>
      <c r="Y10" t="s">
        <v>2496</v>
      </c>
      <c r="Z10" t="s">
        <v>2506</v>
      </c>
      <c r="AA10" t="s">
        <v>2516</v>
      </c>
      <c r="AB10" t="s">
        <v>2526</v>
      </c>
    </row>
    <row r="11" spans="1:28">
      <c r="A11" t="s">
        <v>2247</v>
      </c>
      <c r="B11" t="s">
        <v>2257</v>
      </c>
      <c r="C11" t="s">
        <v>2267</v>
      </c>
      <c r="D11" t="s">
        <v>2277</v>
      </c>
      <c r="E11" t="s">
        <v>2287</v>
      </c>
      <c r="F11" t="s">
        <v>2297</v>
      </c>
      <c r="G11" t="s">
        <v>2308</v>
      </c>
      <c r="H11" t="s">
        <v>2319</v>
      </c>
      <c r="I11" t="s">
        <v>2329</v>
      </c>
      <c r="J11" t="s">
        <v>2340</v>
      </c>
      <c r="K11" t="s">
        <v>2351</v>
      </c>
      <c r="L11" t="s">
        <v>2362</v>
      </c>
      <c r="M11" t="s">
        <v>2373</v>
      </c>
      <c r="N11" t="s">
        <v>2383</v>
      </c>
      <c r="O11" t="s">
        <v>2393</v>
      </c>
      <c r="P11" t="s">
        <v>2404</v>
      </c>
      <c r="Q11" t="s">
        <v>2414</v>
      </c>
      <c r="R11" t="s">
        <v>2424</v>
      </c>
      <c r="S11" t="s">
        <v>2435</v>
      </c>
      <c r="T11" t="s">
        <v>2445</v>
      </c>
      <c r="U11" t="s">
        <v>2455</v>
      </c>
      <c r="V11" t="s">
        <v>2465</v>
      </c>
      <c r="W11" t="s">
        <v>2476</v>
      </c>
      <c r="X11" t="s">
        <v>2486</v>
      </c>
      <c r="Y11" t="s">
        <v>2497</v>
      </c>
      <c r="Z11" t="s">
        <v>2507</v>
      </c>
      <c r="AA11" t="s">
        <v>2517</v>
      </c>
      <c r="AB11" t="s">
        <v>2527</v>
      </c>
    </row>
    <row r="12" spans="1:28">
      <c r="A12" t="s">
        <v>2248</v>
      </c>
      <c r="B12" t="s">
        <v>2258</v>
      </c>
      <c r="C12" t="s">
        <v>2268</v>
      </c>
      <c r="D12" t="s">
        <v>2278</v>
      </c>
      <c r="E12" t="s">
        <v>2288</v>
      </c>
      <c r="F12" t="s">
        <v>2298</v>
      </c>
      <c r="G12" t="s">
        <v>2309</v>
      </c>
      <c r="H12" t="s">
        <v>2320</v>
      </c>
      <c r="I12" t="s">
        <v>2330</v>
      </c>
      <c r="J12" t="s">
        <v>2341</v>
      </c>
      <c r="K12" t="s">
        <v>2352</v>
      </c>
      <c r="L12" t="s">
        <v>2363</v>
      </c>
      <c r="M12" t="s">
        <v>2374</v>
      </c>
      <c r="N12" t="s">
        <v>2384</v>
      </c>
      <c r="O12" t="s">
        <v>2394</v>
      </c>
      <c r="P12" t="s">
        <v>2405</v>
      </c>
      <c r="Q12" t="s">
        <v>2415</v>
      </c>
      <c r="R12" t="s">
        <v>2425</v>
      </c>
      <c r="S12" t="s">
        <v>2436</v>
      </c>
      <c r="T12" t="s">
        <v>2446</v>
      </c>
      <c r="U12" t="s">
        <v>2456</v>
      </c>
      <c r="V12" t="s">
        <v>2466</v>
      </c>
      <c r="W12" t="s">
        <v>2477</v>
      </c>
      <c r="X12" t="s">
        <v>2487</v>
      </c>
      <c r="Y12" t="s">
        <v>2498</v>
      </c>
      <c r="Z12" t="s">
        <v>2508</v>
      </c>
      <c r="AA12" t="s">
        <v>2518</v>
      </c>
      <c r="AB12" t="s">
        <v>2528</v>
      </c>
    </row>
    <row r="13" spans="1:28">
      <c r="A13" t="s">
        <v>2249</v>
      </c>
      <c r="B13" t="s">
        <v>2259</v>
      </c>
      <c r="C13" t="s">
        <v>2269</v>
      </c>
      <c r="D13" t="s">
        <v>2279</v>
      </c>
      <c r="E13" t="s">
        <v>2289</v>
      </c>
      <c r="F13" t="s">
        <v>2299</v>
      </c>
      <c r="G13" t="s">
        <v>2310</v>
      </c>
      <c r="H13" t="s">
        <v>2321</v>
      </c>
      <c r="I13" t="s">
        <v>2331</v>
      </c>
      <c r="J13" t="s">
        <v>2342</v>
      </c>
      <c r="K13" t="s">
        <v>2353</v>
      </c>
      <c r="L13" t="s">
        <v>2364</v>
      </c>
      <c r="M13" t="s">
        <v>2375</v>
      </c>
      <c r="N13" t="s">
        <v>2385</v>
      </c>
      <c r="O13" t="s">
        <v>2395</v>
      </c>
      <c r="P13" t="s">
        <v>2406</v>
      </c>
      <c r="Q13" t="s">
        <v>2416</v>
      </c>
      <c r="R13" t="s">
        <v>2426</v>
      </c>
      <c r="S13" t="s">
        <v>2437</v>
      </c>
      <c r="T13" t="s">
        <v>2447</v>
      </c>
      <c r="U13" t="s">
        <v>2457</v>
      </c>
      <c r="V13" t="s">
        <v>2467</v>
      </c>
      <c r="W13" t="s">
        <v>2478</v>
      </c>
      <c r="X13" t="s">
        <v>2488</v>
      </c>
      <c r="Y13" t="s">
        <v>2499</v>
      </c>
      <c r="Z13" t="s">
        <v>2509</v>
      </c>
      <c r="AA13" t="s">
        <v>2519</v>
      </c>
      <c r="AB13" t="s">
        <v>2529</v>
      </c>
    </row>
  </sheetData>
  <phoneticPr fontId="1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2C4EB-5DA5-46C9-80D1-25BCE991797D}">
  <sheetPr>
    <tabColor rgb="FF024DC2"/>
  </sheetPr>
  <dimension ref="B1:K30"/>
  <sheetViews>
    <sheetView showGridLines="0" showRowColHeaders="0" zoomScaleNormal="100" workbookViewId="0">
      <selection activeCell="N4" sqref="N4"/>
    </sheetView>
  </sheetViews>
  <sheetFormatPr defaultRowHeight="14.5"/>
  <cols>
    <col min="1" max="1" width="27.81640625" style="8" customWidth="1"/>
    <col min="2" max="2" width="50.81640625" style="14" customWidth="1"/>
    <col min="3" max="3" width="18.08984375" style="20" customWidth="1"/>
    <col min="4" max="4" width="22.6328125" style="20" customWidth="1"/>
    <col min="5" max="5" width="22.81640625" style="14"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ht="16">
      <c r="B1" s="19" t="s">
        <v>301</v>
      </c>
      <c r="F1" s="15"/>
    </row>
    <row r="2" spans="2:11">
      <c r="F2" s="15"/>
      <c r="K2" s="132">
        <f>COUNTIF(F4:F29,"Not Comply")</f>
        <v>0</v>
      </c>
    </row>
    <row r="3" spans="2:11" ht="29.5" thickBot="1">
      <c r="B3" s="21" t="s">
        <v>115</v>
      </c>
      <c r="C3" s="21" t="s">
        <v>48</v>
      </c>
      <c r="D3" s="21" t="s">
        <v>57</v>
      </c>
      <c r="E3" s="21" t="s">
        <v>1812</v>
      </c>
      <c r="F3" s="21" t="s">
        <v>1410</v>
      </c>
      <c r="G3" s="21" t="s">
        <v>1845</v>
      </c>
      <c r="H3" s="21" t="s">
        <v>1846</v>
      </c>
      <c r="I3" s="21" t="s">
        <v>1847</v>
      </c>
      <c r="J3" s="21" t="s">
        <v>1848</v>
      </c>
      <c r="K3" s="132" t="s">
        <v>2036</v>
      </c>
    </row>
    <row r="4" spans="2:11" ht="87.5" thickTop="1">
      <c r="B4" s="22" t="s">
        <v>58</v>
      </c>
      <c r="C4" s="23" t="s">
        <v>305</v>
      </c>
      <c r="D4" s="23" t="s">
        <v>580</v>
      </c>
      <c r="E4" s="22" t="s">
        <v>852</v>
      </c>
      <c r="F4" s="22" t="str">
        <f t="shared" ref="F4:F29" si="0">IF(C4="Not Applicable","NA","Comply")</f>
        <v>Comply</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72.5">
      <c r="B5" s="22" t="s">
        <v>59</v>
      </c>
      <c r="C5" s="23" t="s">
        <v>305</v>
      </c>
      <c r="D5" s="23" t="s">
        <v>580</v>
      </c>
      <c r="E5" s="22" t="s">
        <v>853</v>
      </c>
      <c r="F5" s="22" t="str">
        <f t="shared" si="0"/>
        <v>Comply</v>
      </c>
      <c r="G5" s="22" t="str">
        <f>IF(F5="not comply","Gaps to be stated here","")</f>
        <v/>
      </c>
      <c r="H5" s="22" t="str">
        <f>IF(F5="not comply","action to be stated here","")</f>
        <v/>
      </c>
      <c r="I5" s="22" t="str">
        <f>IF(F5="not comply","Name of PIC to be stated here","")</f>
        <v/>
      </c>
      <c r="J5" s="22" t="str">
        <f>IF(F5="not comply","action date to be stated here","")</f>
        <v/>
      </c>
      <c r="K5" s="14"/>
    </row>
    <row r="6" spans="2:11" ht="72.5">
      <c r="B6" s="22" t="s">
        <v>60</v>
      </c>
      <c r="C6" s="23" t="s">
        <v>305</v>
      </c>
      <c r="D6" s="23" t="s">
        <v>580</v>
      </c>
      <c r="E6" s="22" t="s">
        <v>854</v>
      </c>
      <c r="F6" s="22" t="str">
        <f t="shared" si="0"/>
        <v>Comply</v>
      </c>
      <c r="G6" s="22" t="str">
        <f t="shared" ref="G6:G29" si="1">IF(F6="not comply","Gaps to be stated here","")</f>
        <v/>
      </c>
      <c r="H6" s="22" t="str">
        <f t="shared" ref="H6:H29" si="2">IF(F6="not comply","action to be stated here","")</f>
        <v/>
      </c>
      <c r="I6" s="22" t="str">
        <f t="shared" ref="I6:I29" si="3">IF(F6="not comply","Name of PIC to be stated here","")</f>
        <v/>
      </c>
      <c r="J6" s="22" t="str">
        <f t="shared" ref="J6:J29" si="4">IF(F6="not comply","action date to be stated here","")</f>
        <v/>
      </c>
      <c r="K6" s="14"/>
    </row>
    <row r="7" spans="2:11" ht="72.5">
      <c r="B7" s="22" t="s">
        <v>61</v>
      </c>
      <c r="C7" s="23" t="s">
        <v>305</v>
      </c>
      <c r="D7" s="23" t="s">
        <v>579</v>
      </c>
      <c r="E7" s="22" t="s">
        <v>855</v>
      </c>
      <c r="F7" s="22" t="str">
        <f t="shared" si="0"/>
        <v>Comply</v>
      </c>
      <c r="G7" s="22" t="str">
        <f t="shared" si="1"/>
        <v/>
      </c>
      <c r="H7" s="22" t="str">
        <f t="shared" si="2"/>
        <v/>
      </c>
      <c r="I7" s="22" t="str">
        <f t="shared" si="3"/>
        <v/>
      </c>
      <c r="J7" s="22" t="str">
        <f t="shared" si="4"/>
        <v/>
      </c>
      <c r="K7" s="14"/>
    </row>
    <row r="8" spans="2:11" ht="72.5">
      <c r="B8" s="22" t="s">
        <v>62</v>
      </c>
      <c r="C8" s="23" t="s">
        <v>305</v>
      </c>
      <c r="D8" s="23" t="s">
        <v>579</v>
      </c>
      <c r="E8" s="22" t="s">
        <v>856</v>
      </c>
      <c r="F8" s="22" t="str">
        <f t="shared" si="0"/>
        <v>Comply</v>
      </c>
      <c r="G8" s="22" t="str">
        <f t="shared" si="1"/>
        <v/>
      </c>
      <c r="H8" s="22" t="str">
        <f t="shared" si="2"/>
        <v/>
      </c>
      <c r="I8" s="22" t="str">
        <f t="shared" si="3"/>
        <v/>
      </c>
      <c r="J8" s="22" t="str">
        <f t="shared" si="4"/>
        <v/>
      </c>
      <c r="K8" s="14"/>
    </row>
    <row r="9" spans="2:11" ht="72.5">
      <c r="B9" s="22" t="s">
        <v>63</v>
      </c>
      <c r="C9" s="23" t="s">
        <v>305</v>
      </c>
      <c r="D9" s="23" t="s">
        <v>580</v>
      </c>
      <c r="E9" s="22" t="s">
        <v>857</v>
      </c>
      <c r="F9" s="22" t="str">
        <f t="shared" si="0"/>
        <v>Comply</v>
      </c>
      <c r="G9" s="22" t="str">
        <f t="shared" si="1"/>
        <v/>
      </c>
      <c r="H9" s="22" t="str">
        <f t="shared" si="2"/>
        <v/>
      </c>
      <c r="I9" s="22" t="str">
        <f t="shared" si="3"/>
        <v/>
      </c>
      <c r="J9" s="22" t="str">
        <f t="shared" si="4"/>
        <v/>
      </c>
      <c r="K9" s="14"/>
    </row>
    <row r="10" spans="2:11" ht="58">
      <c r="B10" s="22" t="s">
        <v>64</v>
      </c>
      <c r="C10" s="23" t="s">
        <v>305</v>
      </c>
      <c r="D10" s="23" t="s">
        <v>580</v>
      </c>
      <c r="E10" s="22" t="s">
        <v>858</v>
      </c>
      <c r="F10" s="22" t="str">
        <f t="shared" si="0"/>
        <v>Comply</v>
      </c>
      <c r="G10" s="22" t="str">
        <f t="shared" si="1"/>
        <v/>
      </c>
      <c r="H10" s="22" t="str">
        <f t="shared" si="2"/>
        <v/>
      </c>
      <c r="I10" s="22" t="str">
        <f t="shared" si="3"/>
        <v/>
      </c>
      <c r="J10" s="22" t="str">
        <f t="shared" si="4"/>
        <v/>
      </c>
      <c r="K10" s="14"/>
    </row>
    <row r="11" spans="2:11" ht="72.5">
      <c r="B11" s="22" t="s">
        <v>65</v>
      </c>
      <c r="C11" s="23" t="s">
        <v>305</v>
      </c>
      <c r="D11" s="23" t="s">
        <v>580</v>
      </c>
      <c r="E11" s="22" t="s">
        <v>859</v>
      </c>
      <c r="F11" s="22" t="str">
        <f t="shared" si="0"/>
        <v>Comply</v>
      </c>
      <c r="G11" s="22" t="str">
        <f t="shared" si="1"/>
        <v/>
      </c>
      <c r="H11" s="22" t="str">
        <f t="shared" si="2"/>
        <v/>
      </c>
      <c r="I11" s="22" t="str">
        <f t="shared" si="3"/>
        <v/>
      </c>
      <c r="J11" s="22" t="str">
        <f t="shared" si="4"/>
        <v/>
      </c>
      <c r="K11" s="14"/>
    </row>
    <row r="12" spans="2:11" ht="58">
      <c r="B12" s="22" t="s">
        <v>66</v>
      </c>
      <c r="C12" s="23" t="s">
        <v>305</v>
      </c>
      <c r="D12" s="23" t="s">
        <v>580</v>
      </c>
      <c r="E12" s="22" t="s">
        <v>860</v>
      </c>
      <c r="F12" s="22" t="str">
        <f t="shared" si="0"/>
        <v>Comply</v>
      </c>
      <c r="G12" s="22" t="str">
        <f t="shared" si="1"/>
        <v/>
      </c>
      <c r="H12" s="22" t="str">
        <f t="shared" si="2"/>
        <v/>
      </c>
      <c r="I12" s="22" t="str">
        <f t="shared" si="3"/>
        <v/>
      </c>
      <c r="J12" s="22" t="str">
        <f t="shared" si="4"/>
        <v/>
      </c>
      <c r="K12" s="14"/>
    </row>
    <row r="13" spans="2:11" ht="58">
      <c r="B13" s="22" t="s">
        <v>67</v>
      </c>
      <c r="C13" s="23" t="s">
        <v>305</v>
      </c>
      <c r="D13" s="23" t="s">
        <v>580</v>
      </c>
      <c r="E13" s="22" t="s">
        <v>861</v>
      </c>
      <c r="F13" s="22" t="str">
        <f t="shared" si="0"/>
        <v>Comply</v>
      </c>
      <c r="G13" s="22" t="str">
        <f t="shared" si="1"/>
        <v/>
      </c>
      <c r="H13" s="22" t="str">
        <f t="shared" si="2"/>
        <v/>
      </c>
      <c r="I13" s="22" t="str">
        <f t="shared" si="3"/>
        <v/>
      </c>
      <c r="J13" s="22" t="str">
        <f t="shared" si="4"/>
        <v/>
      </c>
      <c r="K13" s="14"/>
    </row>
    <row r="14" spans="2:11" ht="72.5">
      <c r="B14" s="22" t="s">
        <v>68</v>
      </c>
      <c r="C14" s="23" t="s">
        <v>305</v>
      </c>
      <c r="D14" s="23" t="s">
        <v>580</v>
      </c>
      <c r="E14" s="22" t="s">
        <v>862</v>
      </c>
      <c r="F14" s="22" t="str">
        <f t="shared" si="0"/>
        <v>Comply</v>
      </c>
      <c r="G14" s="22" t="str">
        <f t="shared" si="1"/>
        <v/>
      </c>
      <c r="H14" s="22" t="str">
        <f t="shared" si="2"/>
        <v/>
      </c>
      <c r="I14" s="22" t="str">
        <f t="shared" si="3"/>
        <v/>
      </c>
      <c r="J14" s="22" t="str">
        <f t="shared" si="4"/>
        <v/>
      </c>
      <c r="K14" s="14"/>
    </row>
    <row r="15" spans="2:11" ht="58">
      <c r="B15" s="22" t="s">
        <v>69</v>
      </c>
      <c r="C15" s="23" t="s">
        <v>305</v>
      </c>
      <c r="D15" s="23" t="s">
        <v>580</v>
      </c>
      <c r="E15" s="22" t="s">
        <v>863</v>
      </c>
      <c r="F15" s="22" t="str">
        <f t="shared" si="0"/>
        <v>Comply</v>
      </c>
      <c r="G15" s="22" t="str">
        <f t="shared" si="1"/>
        <v/>
      </c>
      <c r="H15" s="22" t="str">
        <f t="shared" si="2"/>
        <v/>
      </c>
      <c r="I15" s="22" t="str">
        <f t="shared" si="3"/>
        <v/>
      </c>
      <c r="J15" s="22" t="str">
        <f t="shared" si="4"/>
        <v/>
      </c>
      <c r="K15" s="14"/>
    </row>
    <row r="16" spans="2:11" ht="72.5">
      <c r="B16" s="22" t="s">
        <v>70</v>
      </c>
      <c r="C16" s="23" t="str">
        <f>IF(COUNTIF('back-data'!D19:D87,TRUE)&gt;0,"Applicable","Not Applicable")</f>
        <v>Not Applicable</v>
      </c>
      <c r="D16" s="23" t="s">
        <v>580</v>
      </c>
      <c r="E16" s="22" t="s">
        <v>864</v>
      </c>
      <c r="F16" s="22" t="str">
        <f t="shared" si="0"/>
        <v>NA</v>
      </c>
      <c r="G16" s="22" t="str">
        <f t="shared" si="1"/>
        <v/>
      </c>
      <c r="H16" s="22" t="str">
        <f t="shared" si="2"/>
        <v/>
      </c>
      <c r="I16" s="22" t="str">
        <f t="shared" si="3"/>
        <v/>
      </c>
      <c r="J16" s="22" t="str">
        <f t="shared" si="4"/>
        <v/>
      </c>
      <c r="K16" s="14"/>
    </row>
    <row r="17" spans="2:11" ht="72.5">
      <c r="B17" s="22" t="s">
        <v>71</v>
      </c>
      <c r="C17" s="23" t="str">
        <f>C16</f>
        <v>Not Applicable</v>
      </c>
      <c r="D17" s="23" t="s">
        <v>580</v>
      </c>
      <c r="E17" s="22" t="s">
        <v>865</v>
      </c>
      <c r="F17" s="22" t="str">
        <f t="shared" si="0"/>
        <v>NA</v>
      </c>
      <c r="G17" s="22" t="str">
        <f t="shared" si="1"/>
        <v/>
      </c>
      <c r="H17" s="22" t="str">
        <f t="shared" si="2"/>
        <v/>
      </c>
      <c r="I17" s="22" t="str">
        <f t="shared" si="3"/>
        <v/>
      </c>
      <c r="J17" s="22" t="str">
        <f t="shared" si="4"/>
        <v/>
      </c>
      <c r="K17" s="14"/>
    </row>
    <row r="18" spans="2:11" ht="72.5">
      <c r="B18" s="22" t="s">
        <v>72</v>
      </c>
      <c r="C18" s="23" t="s">
        <v>305</v>
      </c>
      <c r="D18" s="23" t="s">
        <v>579</v>
      </c>
      <c r="E18" s="22" t="s">
        <v>866</v>
      </c>
      <c r="F18" s="22" t="str">
        <f t="shared" si="0"/>
        <v>Comply</v>
      </c>
      <c r="G18" s="22" t="str">
        <f t="shared" si="1"/>
        <v/>
      </c>
      <c r="H18" s="22" t="str">
        <f t="shared" si="2"/>
        <v/>
      </c>
      <c r="I18" s="22" t="str">
        <f t="shared" si="3"/>
        <v/>
      </c>
      <c r="J18" s="22" t="str">
        <f t="shared" si="4"/>
        <v/>
      </c>
      <c r="K18" s="14"/>
    </row>
    <row r="19" spans="2:11" ht="58">
      <c r="B19" s="22" t="s">
        <v>73</v>
      </c>
      <c r="C19" s="23" t="s">
        <v>305</v>
      </c>
      <c r="D19" s="23" t="s">
        <v>579</v>
      </c>
      <c r="E19" s="22" t="s">
        <v>867</v>
      </c>
      <c r="F19" s="22" t="str">
        <f t="shared" si="0"/>
        <v>Comply</v>
      </c>
      <c r="G19" s="22" t="str">
        <f t="shared" si="1"/>
        <v/>
      </c>
      <c r="H19" s="22" t="str">
        <f t="shared" si="2"/>
        <v/>
      </c>
      <c r="I19" s="22" t="str">
        <f t="shared" si="3"/>
        <v/>
      </c>
      <c r="J19" s="22" t="str">
        <f t="shared" si="4"/>
        <v/>
      </c>
      <c r="K19" s="14"/>
    </row>
    <row r="20" spans="2:11" ht="58">
      <c r="B20" s="22" t="s">
        <v>311</v>
      </c>
      <c r="C20" s="23" t="s">
        <v>305</v>
      </c>
      <c r="D20" s="23" t="s">
        <v>578</v>
      </c>
      <c r="E20" s="22" t="s">
        <v>868</v>
      </c>
      <c r="F20" s="22" t="str">
        <f t="shared" si="0"/>
        <v>Comply</v>
      </c>
      <c r="G20" s="22" t="str">
        <f t="shared" si="1"/>
        <v/>
      </c>
      <c r="H20" s="22" t="str">
        <f t="shared" si="2"/>
        <v/>
      </c>
      <c r="I20" s="22" t="str">
        <f t="shared" si="3"/>
        <v/>
      </c>
      <c r="J20" s="22" t="str">
        <f t="shared" si="4"/>
        <v/>
      </c>
      <c r="K20" s="14"/>
    </row>
    <row r="21" spans="2:11" ht="58">
      <c r="B21" s="22" t="s">
        <v>306</v>
      </c>
      <c r="C21" s="23" t="s">
        <v>305</v>
      </c>
      <c r="D21" s="23" t="s">
        <v>580</v>
      </c>
      <c r="E21" s="22" t="s">
        <v>869</v>
      </c>
      <c r="F21" s="22" t="str">
        <f t="shared" si="0"/>
        <v>Comply</v>
      </c>
      <c r="G21" s="22" t="str">
        <f t="shared" si="1"/>
        <v/>
      </c>
      <c r="H21" s="22" t="str">
        <f t="shared" si="2"/>
        <v/>
      </c>
      <c r="I21" s="22" t="str">
        <f t="shared" si="3"/>
        <v/>
      </c>
      <c r="J21" s="22" t="str">
        <f t="shared" si="4"/>
        <v/>
      </c>
      <c r="K21" s="14"/>
    </row>
    <row r="22" spans="2:11" ht="58">
      <c r="B22" s="22" t="s">
        <v>1220</v>
      </c>
      <c r="C22" s="23" t="str">
        <f>IF(AND(Home!B61=TRUE,Home!B19=TRUE),"Applicable","Not applicable")</f>
        <v>Not applicable</v>
      </c>
      <c r="D22" s="23" t="s">
        <v>580</v>
      </c>
      <c r="E22" s="22" t="s">
        <v>1214</v>
      </c>
      <c r="F22" s="22" t="str">
        <f t="shared" si="0"/>
        <v>NA</v>
      </c>
      <c r="G22" s="22" t="str">
        <f t="shared" si="1"/>
        <v/>
      </c>
      <c r="H22" s="22" t="str">
        <f t="shared" si="2"/>
        <v/>
      </c>
      <c r="I22" s="22" t="str">
        <f t="shared" si="3"/>
        <v/>
      </c>
      <c r="J22" s="22" t="str">
        <f t="shared" si="4"/>
        <v/>
      </c>
      <c r="K22" s="14"/>
    </row>
    <row r="23" spans="2:11" ht="72.5">
      <c r="B23" s="22" t="s">
        <v>303</v>
      </c>
      <c r="C23" s="23" t="str">
        <f>IF(Home!O17=FALSE,"Not applicable","Applicable")</f>
        <v>Not applicable</v>
      </c>
      <c r="D23" s="23" t="s">
        <v>580</v>
      </c>
      <c r="E23" s="22" t="s">
        <v>870</v>
      </c>
      <c r="F23" s="22" t="str">
        <f t="shared" si="0"/>
        <v>NA</v>
      </c>
      <c r="G23" s="22" t="str">
        <f t="shared" si="1"/>
        <v/>
      </c>
      <c r="H23" s="22" t="str">
        <f t="shared" si="2"/>
        <v/>
      </c>
      <c r="I23" s="22" t="str">
        <f t="shared" si="3"/>
        <v/>
      </c>
      <c r="J23" s="22" t="str">
        <f t="shared" si="4"/>
        <v/>
      </c>
      <c r="K23" s="14"/>
    </row>
    <row r="24" spans="2:11" ht="58">
      <c r="B24" s="22" t="s">
        <v>74</v>
      </c>
      <c r="C24" s="23" t="str">
        <f>IF(OR(Home!B18=TRUE,Home!B19=TRUE),"Applicable","Not applicable")</f>
        <v>Not applicable</v>
      </c>
      <c r="D24" s="23" t="s">
        <v>580</v>
      </c>
      <c r="E24" s="22" t="s">
        <v>871</v>
      </c>
      <c r="F24" s="22" t="str">
        <f t="shared" si="0"/>
        <v>NA</v>
      </c>
      <c r="G24" s="22" t="str">
        <f t="shared" si="1"/>
        <v/>
      </c>
      <c r="H24" s="22" t="str">
        <f t="shared" si="2"/>
        <v/>
      </c>
      <c r="I24" s="22" t="str">
        <f t="shared" si="3"/>
        <v/>
      </c>
      <c r="J24" s="22" t="str">
        <f t="shared" si="4"/>
        <v/>
      </c>
      <c r="K24" s="14"/>
    </row>
    <row r="25" spans="2:11" ht="58">
      <c r="B25" s="22" t="s">
        <v>308</v>
      </c>
      <c r="C25" s="23" t="str">
        <f>IF(OR(Home!B18=TRUE,Home!B19=TRUE),"Applicable","Not applicable")</f>
        <v>Not applicable</v>
      </c>
      <c r="D25" s="23" t="s">
        <v>580</v>
      </c>
      <c r="E25" s="22" t="s">
        <v>872</v>
      </c>
      <c r="F25" s="22" t="str">
        <f t="shared" si="0"/>
        <v>NA</v>
      </c>
      <c r="G25" s="22" t="str">
        <f t="shared" si="1"/>
        <v/>
      </c>
      <c r="H25" s="22" t="str">
        <f t="shared" si="2"/>
        <v/>
      </c>
      <c r="I25" s="22" t="str">
        <f t="shared" si="3"/>
        <v/>
      </c>
      <c r="J25" s="22" t="str">
        <f t="shared" si="4"/>
        <v/>
      </c>
      <c r="K25" s="14"/>
    </row>
    <row r="26" spans="2:11" ht="58">
      <c r="B26" s="22" t="s">
        <v>309</v>
      </c>
      <c r="C26" s="23" t="s">
        <v>305</v>
      </c>
      <c r="D26" s="23" t="s">
        <v>578</v>
      </c>
      <c r="E26" s="22" t="s">
        <v>873</v>
      </c>
      <c r="F26" s="22" t="str">
        <f t="shared" si="0"/>
        <v>Comply</v>
      </c>
      <c r="G26" s="22" t="str">
        <f t="shared" si="1"/>
        <v/>
      </c>
      <c r="H26" s="22" t="str">
        <f t="shared" si="2"/>
        <v/>
      </c>
      <c r="I26" s="22" t="str">
        <f t="shared" si="3"/>
        <v/>
      </c>
      <c r="J26" s="22" t="str">
        <f t="shared" si="4"/>
        <v/>
      </c>
      <c r="K26" s="14"/>
    </row>
    <row r="27" spans="2:11" ht="72.5">
      <c r="B27" s="22" t="s">
        <v>310</v>
      </c>
      <c r="C27" s="23" t="s">
        <v>305</v>
      </c>
      <c r="D27" s="23" t="s">
        <v>580</v>
      </c>
      <c r="E27" s="22" t="s">
        <v>874</v>
      </c>
      <c r="F27" s="22" t="str">
        <f t="shared" si="0"/>
        <v>Comply</v>
      </c>
      <c r="G27" s="22" t="str">
        <f t="shared" si="1"/>
        <v/>
      </c>
      <c r="H27" s="22" t="str">
        <f t="shared" si="2"/>
        <v/>
      </c>
      <c r="I27" s="22" t="str">
        <f t="shared" si="3"/>
        <v/>
      </c>
      <c r="J27" s="22" t="str">
        <f t="shared" si="4"/>
        <v/>
      </c>
      <c r="K27" s="14"/>
    </row>
    <row r="28" spans="2:11" ht="72.5">
      <c r="B28" s="22" t="s">
        <v>2035</v>
      </c>
      <c r="C28" s="23" t="s">
        <v>305</v>
      </c>
      <c r="D28" s="23" t="s">
        <v>578</v>
      </c>
      <c r="E28" s="22" t="s">
        <v>875</v>
      </c>
      <c r="F28" s="22" t="str">
        <f t="shared" si="0"/>
        <v>Comply</v>
      </c>
      <c r="G28" s="22" t="str">
        <f t="shared" si="1"/>
        <v/>
      </c>
      <c r="H28" s="22" t="str">
        <f t="shared" si="2"/>
        <v/>
      </c>
      <c r="I28" s="22" t="str">
        <f t="shared" si="3"/>
        <v/>
      </c>
      <c r="J28" s="22" t="str">
        <f t="shared" si="4"/>
        <v/>
      </c>
      <c r="K28" s="14"/>
    </row>
    <row r="29" spans="2:11" ht="58">
      <c r="B29" s="22" t="s">
        <v>75</v>
      </c>
      <c r="C29" s="23" t="s">
        <v>305</v>
      </c>
      <c r="D29" s="23" t="s">
        <v>578</v>
      </c>
      <c r="E29" s="22" t="s">
        <v>876</v>
      </c>
      <c r="F29" s="22" t="str">
        <f t="shared" si="0"/>
        <v>Comply</v>
      </c>
      <c r="G29" s="22" t="str">
        <f t="shared" si="1"/>
        <v/>
      </c>
      <c r="H29" s="22" t="str">
        <f t="shared" si="2"/>
        <v/>
      </c>
      <c r="I29" s="22" t="str">
        <f t="shared" si="3"/>
        <v/>
      </c>
      <c r="J29" s="22" t="str">
        <f t="shared" si="4"/>
        <v/>
      </c>
      <c r="K29" s="14"/>
    </row>
    <row r="30" spans="2:11">
      <c r="B30" s="24"/>
      <c r="C30" s="25"/>
      <c r="D30" s="25"/>
      <c r="E30" s="24"/>
    </row>
  </sheetData>
  <conditionalFormatting sqref="C4:C70">
    <cfRule type="containsText" dxfId="282" priority="13" operator="containsText" text="Not Applicable">
      <formula>NOT(ISERROR(SEARCH("Not Applicable",C4)))</formula>
    </cfRule>
    <cfRule type="containsText" dxfId="281" priority="14" operator="containsText" text="Applicable">
      <formula>NOT(ISERROR(SEARCH("Applicable",C4)))</formula>
    </cfRule>
  </conditionalFormatting>
  <conditionalFormatting sqref="F4:F50">
    <cfRule type="containsText" dxfId="280" priority="9" operator="containsText" text="Not">
      <formula>NOT(ISERROR(SEARCH("Not",F4)))</formula>
    </cfRule>
    <cfRule type="containsText" dxfId="279" priority="10" operator="containsText" text="Comply">
      <formula>NOT(ISERROR(SEARCH("Comply",F4)))</formula>
    </cfRule>
  </conditionalFormatting>
  <conditionalFormatting sqref="G4:G29">
    <cfRule type="containsText" dxfId="278" priority="6" operator="containsText" text="Gaps to be stated here">
      <formula>NOT(ISERROR(SEARCH("Gaps to be stated here",G4)))</formula>
    </cfRule>
  </conditionalFormatting>
  <conditionalFormatting sqref="H4:H29">
    <cfRule type="containsText" dxfId="277" priority="7" operator="containsText" text="action to be stated here">
      <formula>NOT(ISERROR(SEARCH("action to be stated here",H4)))</formula>
    </cfRule>
  </conditionalFormatting>
  <conditionalFormatting sqref="I4:I29">
    <cfRule type="containsText" dxfId="276" priority="4" operator="containsText" text="Name of PIC to be stated here">
      <formula>NOT(ISERROR(SEARCH("Name of PIC to be stated here",I4)))</formula>
    </cfRule>
  </conditionalFormatting>
  <conditionalFormatting sqref="J4:J29">
    <cfRule type="containsText" dxfId="275" priority="3" operator="containsText" text="action date to be stated here">
      <formula>NOT(ISERROR(SEARCH("action date to be stated here",J4)))</formula>
    </cfRule>
  </conditionalFormatting>
  <conditionalFormatting sqref="K3">
    <cfRule type="expression" dxfId="274" priority="2">
      <formula>$K$2&gt;0</formula>
    </cfRule>
  </conditionalFormatting>
  <conditionalFormatting sqref="K4:K29">
    <cfRule type="expression" dxfId="273" priority="15">
      <formula>$K$2&gt;0</formula>
    </cfRule>
  </conditionalFormatting>
  <dataValidations count="1">
    <dataValidation allowBlank="1" showInputMessage="1" showErrorMessage="1" prompt="Course recognised by DOSH" sqref="B26" xr:uid="{F4EFD395-B479-4E0B-9D5E-F2EDFF49446A}"/>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35D8285-BF4B-4438-A542-F6C636687C02}">
          <x14:formula1>
            <xm:f>'back-data'!$B$4:$B$6</xm:f>
          </x14:formula1>
          <xm:sqref>D4:D29</xm:sqref>
        </x14:dataValidation>
        <x14:dataValidation type="list" allowBlank="1" showInputMessage="1" showErrorMessage="1" xr:uid="{6283ADF6-F6B4-430B-88E2-97248E14330C}">
          <x14:formula1>
            <xm:f>'back-data'!$B$13:$B$15</xm:f>
          </x14:formula1>
          <xm:sqref>F4:F29</xm:sqref>
        </x14:dataValidation>
        <x14:dataValidation type="list" allowBlank="1" showInputMessage="1" showErrorMessage="1" xr:uid="{AFE313B1-56B9-47B4-989C-415204B28461}">
          <x14:formula1>
            <xm:f>Action_Tracker_Data!$A$4:$A$13</xm:f>
          </x14:formula1>
          <xm:sqref>K4:K29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BC31D-9C28-4611-9455-9E315469C67A}">
  <sheetPr>
    <tabColor rgb="FF024DC2"/>
  </sheetPr>
  <dimension ref="B1:K31"/>
  <sheetViews>
    <sheetView showGridLines="0" showRowColHeaders="0" zoomScaleNormal="100" workbookViewId="0"/>
  </sheetViews>
  <sheetFormatPr defaultRowHeight="14.5"/>
  <cols>
    <col min="1" max="1" width="27.81640625" style="8" customWidth="1"/>
    <col min="2" max="2" width="42" style="8" customWidth="1"/>
    <col min="3" max="3" width="17.26953125" style="8" customWidth="1"/>
    <col min="4" max="4" width="22.6328125" style="8" customWidth="1"/>
    <col min="5" max="5" width="21.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ht="16">
      <c r="B1" s="11" t="s">
        <v>295</v>
      </c>
      <c r="F1" s="15"/>
    </row>
    <row r="2" spans="2:11">
      <c r="F2" s="15"/>
      <c r="K2" s="132">
        <f>COUNTIF(F4:F100,"Not Comply")</f>
        <v>0</v>
      </c>
    </row>
    <row r="3" spans="2:11" ht="29.5" thickBot="1">
      <c r="B3" s="21" t="s">
        <v>115</v>
      </c>
      <c r="C3" s="21" t="s">
        <v>48</v>
      </c>
      <c r="D3" s="21" t="s">
        <v>57</v>
      </c>
      <c r="E3" s="21" t="s">
        <v>1812</v>
      </c>
      <c r="F3" s="21" t="s">
        <v>1410</v>
      </c>
      <c r="G3" s="21" t="s">
        <v>1845</v>
      </c>
      <c r="H3" s="21" t="s">
        <v>1846</v>
      </c>
      <c r="I3" s="21" t="s">
        <v>1847</v>
      </c>
      <c r="J3" s="21" t="s">
        <v>1848</v>
      </c>
      <c r="K3" s="138" t="s">
        <v>2036</v>
      </c>
    </row>
    <row r="4" spans="2:11" ht="44" thickTop="1">
      <c r="B4" s="33" t="s">
        <v>116</v>
      </c>
      <c r="C4" s="56" t="s">
        <v>305</v>
      </c>
      <c r="D4" s="33" t="s">
        <v>578</v>
      </c>
      <c r="E4" s="33" t="s">
        <v>117</v>
      </c>
      <c r="F4" s="22" t="str">
        <f t="shared" ref="F4:F31" si="0">IF(C4="Not Applicable","NA","Comply")</f>
        <v>Comply</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5" customHeight="1">
      <c r="B5" s="22" t="s">
        <v>118</v>
      </c>
      <c r="C5" s="56" t="s">
        <v>2239</v>
      </c>
      <c r="D5" s="22" t="s">
        <v>580</v>
      </c>
      <c r="E5" s="22" t="s">
        <v>729</v>
      </c>
      <c r="F5" s="22" t="str">
        <f t="shared" si="0"/>
        <v>Comply</v>
      </c>
      <c r="G5" s="22" t="str">
        <f>IF(F5="not comply","Gaps to be stated here","")</f>
        <v/>
      </c>
      <c r="H5" s="22" t="str">
        <f>IF(F5="not comply","action to be stated here","")</f>
        <v/>
      </c>
      <c r="I5" s="22" t="str">
        <f>IF(F5="not comply","Name of PIC to be stated here","")</f>
        <v/>
      </c>
      <c r="J5" s="22" t="str">
        <f>IF(F5="not comply","action date to be stated here","")</f>
        <v/>
      </c>
      <c r="K5" s="14"/>
    </row>
    <row r="6" spans="2:11" ht="43.5">
      <c r="B6" s="22" t="s">
        <v>119</v>
      </c>
      <c r="C6" s="56" t="s">
        <v>305</v>
      </c>
      <c r="D6" s="22" t="s">
        <v>580</v>
      </c>
      <c r="E6" s="22" t="s">
        <v>33</v>
      </c>
      <c r="F6" s="22" t="str">
        <f t="shared" si="0"/>
        <v>Comply</v>
      </c>
      <c r="G6" s="22" t="str">
        <f t="shared" ref="G6:G26" si="1">IF(F6="not comply","Gaps to be stated here","")</f>
        <v/>
      </c>
      <c r="H6" s="22" t="str">
        <f t="shared" ref="H6:H26" si="2">IF(F6="not comply","action to be stated here","")</f>
        <v/>
      </c>
      <c r="I6" s="22" t="str">
        <f t="shared" ref="I6:I26" si="3">IF(F6="not comply","Name of PIC to be stated here","")</f>
        <v/>
      </c>
      <c r="J6" s="22" t="str">
        <f t="shared" ref="J6:J26" si="4">IF(F6="not comply","action date to be stated here","")</f>
        <v/>
      </c>
      <c r="K6" s="14"/>
    </row>
    <row r="7" spans="2:11" ht="58">
      <c r="B7" s="22" t="s">
        <v>120</v>
      </c>
      <c r="C7" s="56" t="s">
        <v>305</v>
      </c>
      <c r="D7" s="22" t="s">
        <v>580</v>
      </c>
      <c r="E7" s="22" t="s">
        <v>730</v>
      </c>
      <c r="F7" s="22" t="str">
        <f t="shared" si="0"/>
        <v>Comply</v>
      </c>
      <c r="G7" s="22" t="str">
        <f t="shared" si="1"/>
        <v/>
      </c>
      <c r="H7" s="22" t="str">
        <f t="shared" si="2"/>
        <v/>
      </c>
      <c r="I7" s="22" t="str">
        <f t="shared" si="3"/>
        <v/>
      </c>
      <c r="J7" s="22" t="str">
        <f t="shared" si="4"/>
        <v/>
      </c>
      <c r="K7" s="14"/>
    </row>
    <row r="8" spans="2:11" ht="43.5">
      <c r="B8" s="22" t="s">
        <v>121</v>
      </c>
      <c r="C8" s="56" t="s">
        <v>305</v>
      </c>
      <c r="D8" s="22" t="s">
        <v>580</v>
      </c>
      <c r="E8" s="22" t="s">
        <v>33</v>
      </c>
      <c r="F8" s="22" t="str">
        <f t="shared" si="0"/>
        <v>Comply</v>
      </c>
      <c r="G8" s="22" t="str">
        <f t="shared" si="1"/>
        <v/>
      </c>
      <c r="H8" s="22" t="str">
        <f t="shared" si="2"/>
        <v/>
      </c>
      <c r="I8" s="22" t="str">
        <f t="shared" si="3"/>
        <v/>
      </c>
      <c r="J8" s="22" t="str">
        <f t="shared" si="4"/>
        <v/>
      </c>
      <c r="K8" s="14"/>
    </row>
    <row r="9" spans="2:11" ht="58">
      <c r="B9" s="22" t="s">
        <v>122</v>
      </c>
      <c r="C9" s="56" t="s">
        <v>305</v>
      </c>
      <c r="D9" s="22" t="s">
        <v>580</v>
      </c>
      <c r="E9" s="22" t="s">
        <v>731</v>
      </c>
      <c r="F9" s="22" t="str">
        <f t="shared" si="0"/>
        <v>Comply</v>
      </c>
      <c r="G9" s="22" t="str">
        <f t="shared" si="1"/>
        <v/>
      </c>
      <c r="H9" s="22" t="str">
        <f t="shared" si="2"/>
        <v/>
      </c>
      <c r="I9" s="22" t="str">
        <f t="shared" si="3"/>
        <v/>
      </c>
      <c r="J9" s="22" t="str">
        <f t="shared" si="4"/>
        <v/>
      </c>
      <c r="K9" s="14"/>
    </row>
    <row r="10" spans="2:11" ht="43.5">
      <c r="B10" s="22" t="s">
        <v>123</v>
      </c>
      <c r="C10" s="56" t="s">
        <v>305</v>
      </c>
      <c r="D10" s="22" t="s">
        <v>580</v>
      </c>
      <c r="E10" s="22" t="s">
        <v>33</v>
      </c>
      <c r="F10" s="22" t="str">
        <f t="shared" si="0"/>
        <v>Comply</v>
      </c>
      <c r="G10" s="22" t="str">
        <f t="shared" si="1"/>
        <v/>
      </c>
      <c r="H10" s="22" t="str">
        <f t="shared" si="2"/>
        <v/>
      </c>
      <c r="I10" s="22" t="str">
        <f t="shared" si="3"/>
        <v/>
      </c>
      <c r="J10" s="22" t="str">
        <f t="shared" si="4"/>
        <v/>
      </c>
      <c r="K10" s="14"/>
    </row>
    <row r="11" spans="2:11" ht="43.5">
      <c r="B11" s="22" t="s">
        <v>124</v>
      </c>
      <c r="C11" s="56" t="s">
        <v>305</v>
      </c>
      <c r="D11" s="22" t="s">
        <v>580</v>
      </c>
      <c r="E11" s="22" t="s">
        <v>33</v>
      </c>
      <c r="F11" s="22" t="str">
        <f t="shared" si="0"/>
        <v>Comply</v>
      </c>
      <c r="G11" s="22" t="str">
        <f t="shared" si="1"/>
        <v/>
      </c>
      <c r="H11" s="22" t="str">
        <f t="shared" si="2"/>
        <v/>
      </c>
      <c r="I11" s="22" t="str">
        <f t="shared" si="3"/>
        <v/>
      </c>
      <c r="J11" s="22" t="str">
        <f t="shared" si="4"/>
        <v/>
      </c>
      <c r="K11" s="14"/>
    </row>
    <row r="12" spans="2:11" ht="43.5">
      <c r="B12" s="22" t="s">
        <v>125</v>
      </c>
      <c r="C12" s="56" t="s">
        <v>305</v>
      </c>
      <c r="D12" s="22" t="s">
        <v>580</v>
      </c>
      <c r="E12" s="22" t="s">
        <v>31</v>
      </c>
      <c r="F12" s="22" t="str">
        <f t="shared" si="0"/>
        <v>Comply</v>
      </c>
      <c r="G12" s="22" t="str">
        <f t="shared" si="1"/>
        <v/>
      </c>
      <c r="H12" s="22" t="str">
        <f t="shared" si="2"/>
        <v/>
      </c>
      <c r="I12" s="22" t="str">
        <f t="shared" si="3"/>
        <v/>
      </c>
      <c r="J12" s="22" t="str">
        <f t="shared" si="4"/>
        <v/>
      </c>
      <c r="K12" s="14"/>
    </row>
    <row r="13" spans="2:11" ht="43.5">
      <c r="B13" s="22" t="s">
        <v>126</v>
      </c>
      <c r="C13" s="56" t="s">
        <v>305</v>
      </c>
      <c r="D13" s="22" t="s">
        <v>578</v>
      </c>
      <c r="E13" s="22" t="s">
        <v>40</v>
      </c>
      <c r="F13" s="22" t="str">
        <f t="shared" si="0"/>
        <v>Comply</v>
      </c>
      <c r="G13" s="22" t="str">
        <f t="shared" si="1"/>
        <v/>
      </c>
      <c r="H13" s="22" t="str">
        <f t="shared" si="2"/>
        <v/>
      </c>
      <c r="I13" s="22" t="str">
        <f t="shared" si="3"/>
        <v/>
      </c>
      <c r="J13" s="22" t="str">
        <f t="shared" si="4"/>
        <v/>
      </c>
      <c r="K13" s="14"/>
    </row>
    <row r="14" spans="2:11" ht="29">
      <c r="B14" s="22" t="s">
        <v>127</v>
      </c>
      <c r="C14" s="56" t="s">
        <v>305</v>
      </c>
      <c r="D14" s="22" t="s">
        <v>578</v>
      </c>
      <c r="E14" s="22" t="s">
        <v>45</v>
      </c>
      <c r="F14" s="22" t="str">
        <f t="shared" si="0"/>
        <v>Comply</v>
      </c>
      <c r="G14" s="22" t="str">
        <f t="shared" si="1"/>
        <v/>
      </c>
      <c r="H14" s="22" t="str">
        <f t="shared" si="2"/>
        <v/>
      </c>
      <c r="I14" s="22" t="str">
        <f t="shared" si="3"/>
        <v/>
      </c>
      <c r="J14" s="22" t="str">
        <f t="shared" si="4"/>
        <v/>
      </c>
      <c r="K14" s="14"/>
    </row>
    <row r="15" spans="2:11" ht="58">
      <c r="B15" s="22" t="s">
        <v>128</v>
      </c>
      <c r="C15" s="56" t="s">
        <v>305</v>
      </c>
      <c r="D15" s="22" t="s">
        <v>580</v>
      </c>
      <c r="E15" s="22" t="s">
        <v>732</v>
      </c>
      <c r="F15" s="22" t="str">
        <f t="shared" si="0"/>
        <v>Comply</v>
      </c>
      <c r="G15" s="22" t="str">
        <f t="shared" si="1"/>
        <v/>
      </c>
      <c r="H15" s="22" t="str">
        <f t="shared" si="2"/>
        <v/>
      </c>
      <c r="I15" s="22" t="str">
        <f t="shared" si="3"/>
        <v/>
      </c>
      <c r="J15" s="22" t="str">
        <f>IF(F15="not comply","action date to be stated here","")</f>
        <v/>
      </c>
      <c r="K15" s="14"/>
    </row>
    <row r="16" spans="2:11" ht="29">
      <c r="B16" s="22" t="s">
        <v>129</v>
      </c>
      <c r="C16" s="56" t="s">
        <v>305</v>
      </c>
      <c r="D16" s="22" t="s">
        <v>578</v>
      </c>
      <c r="E16" s="22" t="s">
        <v>32</v>
      </c>
      <c r="F16" s="22" t="str">
        <f t="shared" si="0"/>
        <v>Comply</v>
      </c>
      <c r="G16" s="22" t="str">
        <f t="shared" si="1"/>
        <v/>
      </c>
      <c r="H16" s="22" t="str">
        <f t="shared" si="2"/>
        <v/>
      </c>
      <c r="I16" s="22" t="str">
        <f t="shared" si="3"/>
        <v/>
      </c>
      <c r="J16" s="22" t="str">
        <f t="shared" si="4"/>
        <v/>
      </c>
      <c r="K16" s="14"/>
    </row>
    <row r="17" spans="2:11" ht="29">
      <c r="B17" s="22" t="s">
        <v>130</v>
      </c>
      <c r="C17" s="56" t="s">
        <v>305</v>
      </c>
      <c r="D17" s="22" t="s">
        <v>578</v>
      </c>
      <c r="E17" s="22" t="s">
        <v>47</v>
      </c>
      <c r="F17" s="22" t="str">
        <f t="shared" si="0"/>
        <v>Comply</v>
      </c>
      <c r="G17" s="22" t="str">
        <f t="shared" si="1"/>
        <v/>
      </c>
      <c r="H17" s="22" t="str">
        <f t="shared" si="2"/>
        <v/>
      </c>
      <c r="I17" s="22" t="str">
        <f t="shared" si="3"/>
        <v/>
      </c>
      <c r="J17" s="22" t="str">
        <f t="shared" si="4"/>
        <v/>
      </c>
      <c r="K17" s="14"/>
    </row>
    <row r="18" spans="2:11" ht="29">
      <c r="B18" s="22" t="s">
        <v>131</v>
      </c>
      <c r="C18" s="56" t="s">
        <v>305</v>
      </c>
      <c r="D18" s="22" t="s">
        <v>578</v>
      </c>
      <c r="E18" s="22" t="s">
        <v>51</v>
      </c>
      <c r="F18" s="22" t="str">
        <f t="shared" si="0"/>
        <v>Comply</v>
      </c>
      <c r="G18" s="22" t="str">
        <f t="shared" si="1"/>
        <v/>
      </c>
      <c r="H18" s="22" t="str">
        <f t="shared" si="2"/>
        <v/>
      </c>
      <c r="I18" s="22" t="str">
        <f t="shared" si="3"/>
        <v/>
      </c>
      <c r="J18" s="22" t="str">
        <f t="shared" si="4"/>
        <v/>
      </c>
      <c r="K18" s="14"/>
    </row>
    <row r="19" spans="2:11" ht="87">
      <c r="B19" s="22" t="s">
        <v>132</v>
      </c>
      <c r="C19" s="56" t="str">
        <f>IF(OR(Home!B150=TRUE,Home!B191=TRUE,Home!B266=TRUE),"Applicable","Not Applicable")</f>
        <v>Not Applicable</v>
      </c>
      <c r="D19" s="22" t="s">
        <v>580</v>
      </c>
      <c r="E19" s="22" t="s">
        <v>733</v>
      </c>
      <c r="F19" s="22" t="str">
        <f t="shared" si="0"/>
        <v>NA</v>
      </c>
      <c r="G19" s="22" t="str">
        <f t="shared" si="1"/>
        <v/>
      </c>
      <c r="H19" s="22" t="str">
        <f t="shared" si="2"/>
        <v/>
      </c>
      <c r="I19" s="22" t="str">
        <f t="shared" si="3"/>
        <v/>
      </c>
      <c r="J19" s="22" t="str">
        <f t="shared" si="4"/>
        <v/>
      </c>
      <c r="K19" s="14"/>
    </row>
    <row r="20" spans="2:11" ht="43.5">
      <c r="B20" s="22" t="s">
        <v>133</v>
      </c>
      <c r="C20" s="56" t="str">
        <f>IF(OR(Home!B150=TRUE,Home!B191=TRUE,Home!B266=TRUE),"Applicable","Not Applicable")</f>
        <v>Not Applicable</v>
      </c>
      <c r="D20" s="22" t="s">
        <v>580</v>
      </c>
      <c r="E20" s="22" t="s">
        <v>36</v>
      </c>
      <c r="F20" s="22" t="str">
        <f t="shared" si="0"/>
        <v>NA</v>
      </c>
      <c r="G20" s="22" t="str">
        <f t="shared" si="1"/>
        <v/>
      </c>
      <c r="H20" s="22" t="str">
        <f t="shared" si="2"/>
        <v/>
      </c>
      <c r="I20" s="22" t="str">
        <f t="shared" si="3"/>
        <v/>
      </c>
      <c r="J20" s="22" t="str">
        <f t="shared" si="4"/>
        <v/>
      </c>
      <c r="K20" s="14"/>
    </row>
    <row r="21" spans="2:11" ht="43.5">
      <c r="B21" s="22" t="s">
        <v>134</v>
      </c>
      <c r="C21" s="56" t="str">
        <f t="shared" ref="C21:C22" si="5">C20</f>
        <v>Not Applicable</v>
      </c>
      <c r="D21" s="22" t="s">
        <v>580</v>
      </c>
      <c r="E21" s="22" t="s">
        <v>50</v>
      </c>
      <c r="F21" s="22" t="str">
        <f t="shared" si="0"/>
        <v>NA</v>
      </c>
      <c r="G21" s="22" t="str">
        <f t="shared" si="1"/>
        <v/>
      </c>
      <c r="H21" s="22" t="str">
        <f t="shared" si="2"/>
        <v/>
      </c>
      <c r="I21" s="22" t="str">
        <f t="shared" si="3"/>
        <v/>
      </c>
      <c r="J21" s="22" t="str">
        <f t="shared" si="4"/>
        <v/>
      </c>
      <c r="K21" s="14"/>
    </row>
    <row r="22" spans="2:11" ht="29">
      <c r="B22" s="22" t="s">
        <v>135</v>
      </c>
      <c r="C22" s="56" t="str">
        <f t="shared" si="5"/>
        <v>Not Applicable</v>
      </c>
      <c r="D22" s="22" t="s">
        <v>578</v>
      </c>
      <c r="E22" s="22" t="s">
        <v>32</v>
      </c>
      <c r="F22" s="22" t="str">
        <f t="shared" si="0"/>
        <v>NA</v>
      </c>
      <c r="G22" s="22" t="str">
        <f t="shared" si="1"/>
        <v/>
      </c>
      <c r="H22" s="22" t="str">
        <f t="shared" si="2"/>
        <v/>
      </c>
      <c r="I22" s="22" t="str">
        <f t="shared" si="3"/>
        <v/>
      </c>
      <c r="J22" s="22" t="str">
        <f t="shared" si="4"/>
        <v/>
      </c>
      <c r="K22" s="14"/>
    </row>
    <row r="23" spans="2:11" ht="43.5">
      <c r="B23" s="22" t="s">
        <v>136</v>
      </c>
      <c r="C23" s="56" t="str">
        <f>C9</f>
        <v>Applicable</v>
      </c>
      <c r="D23" s="22" t="s">
        <v>580</v>
      </c>
      <c r="E23" s="22" t="s">
        <v>37</v>
      </c>
      <c r="F23" s="22" t="str">
        <f t="shared" si="0"/>
        <v>Comply</v>
      </c>
      <c r="G23" s="22" t="str">
        <f t="shared" si="1"/>
        <v/>
      </c>
      <c r="H23" s="22" t="str">
        <f t="shared" si="2"/>
        <v/>
      </c>
      <c r="I23" s="22" t="str">
        <f t="shared" si="3"/>
        <v/>
      </c>
      <c r="J23" s="22" t="str">
        <f t="shared" si="4"/>
        <v/>
      </c>
      <c r="K23" s="14"/>
    </row>
    <row r="24" spans="2:11" ht="29">
      <c r="B24" s="22" t="s">
        <v>137</v>
      </c>
      <c r="C24" s="56" t="s">
        <v>305</v>
      </c>
      <c r="D24" s="22" t="s">
        <v>579</v>
      </c>
      <c r="E24" s="22" t="s">
        <v>42</v>
      </c>
      <c r="F24" s="22" t="str">
        <f t="shared" si="0"/>
        <v>Comply</v>
      </c>
      <c r="G24" s="22" t="str">
        <f t="shared" si="1"/>
        <v/>
      </c>
      <c r="H24" s="22" t="str">
        <f t="shared" si="2"/>
        <v/>
      </c>
      <c r="I24" s="22" t="str">
        <f t="shared" si="3"/>
        <v/>
      </c>
      <c r="J24" s="22" t="str">
        <f t="shared" si="4"/>
        <v/>
      </c>
      <c r="K24" s="14"/>
    </row>
    <row r="25" spans="2:11" ht="29">
      <c r="B25" s="22" t="s">
        <v>138</v>
      </c>
      <c r="C25" s="56" t="s">
        <v>305</v>
      </c>
      <c r="D25" s="22" t="s">
        <v>579</v>
      </c>
      <c r="E25" s="22" t="s">
        <v>38</v>
      </c>
      <c r="F25" s="22" t="str">
        <f t="shared" si="0"/>
        <v>Comply</v>
      </c>
      <c r="G25" s="22" t="str">
        <f t="shared" si="1"/>
        <v/>
      </c>
      <c r="H25" s="22" t="str">
        <f t="shared" si="2"/>
        <v/>
      </c>
      <c r="I25" s="22" t="str">
        <f t="shared" si="3"/>
        <v/>
      </c>
      <c r="J25" s="22" t="str">
        <f t="shared" si="4"/>
        <v/>
      </c>
      <c r="K25" s="14"/>
    </row>
    <row r="26" spans="2:11" ht="43.5">
      <c r="B26" s="22" t="s">
        <v>139</v>
      </c>
      <c r="C26" s="56" t="s">
        <v>305</v>
      </c>
      <c r="D26" s="22" t="s">
        <v>580</v>
      </c>
      <c r="E26" s="22" t="s">
        <v>39</v>
      </c>
      <c r="F26" s="22" t="str">
        <f t="shared" si="0"/>
        <v>Comply</v>
      </c>
      <c r="G26" s="22" t="str">
        <f t="shared" si="1"/>
        <v/>
      </c>
      <c r="H26" s="22" t="str">
        <f t="shared" si="2"/>
        <v/>
      </c>
      <c r="I26" s="22" t="str">
        <f t="shared" si="3"/>
        <v/>
      </c>
      <c r="J26" s="22" t="str">
        <f t="shared" si="4"/>
        <v/>
      </c>
      <c r="K26" s="14"/>
    </row>
    <row r="27" spans="2:11" ht="43.5">
      <c r="B27" s="22" t="s">
        <v>140</v>
      </c>
      <c r="C27" s="56" t="s">
        <v>305</v>
      </c>
      <c r="D27" s="22" t="s">
        <v>580</v>
      </c>
      <c r="E27" s="22" t="s">
        <v>30</v>
      </c>
      <c r="F27" s="22" t="str">
        <f t="shared" si="0"/>
        <v>Comply</v>
      </c>
      <c r="G27" s="22" t="str">
        <f t="shared" ref="G27:G31" si="6">IF(F27="not comply","Gaps to be stated here","")</f>
        <v/>
      </c>
      <c r="H27" s="22" t="str">
        <f t="shared" ref="H27:H31" si="7">IF(F27="not comply","action to be stated here","")</f>
        <v/>
      </c>
      <c r="I27" s="22" t="str">
        <f t="shared" ref="I27:I31" si="8">IF(F27="not comply","Name of PIC to be stated here","")</f>
        <v/>
      </c>
      <c r="J27" s="22" t="str">
        <f t="shared" ref="J27:J31" si="9">IF(F27="not comply","action date to be stated here","")</f>
        <v/>
      </c>
      <c r="K27" s="14"/>
    </row>
    <row r="28" spans="2:11" ht="72.5">
      <c r="B28" s="22" t="s">
        <v>141</v>
      </c>
      <c r="C28" s="56" t="s">
        <v>305</v>
      </c>
      <c r="D28" s="22" t="s">
        <v>580</v>
      </c>
      <c r="E28" s="22" t="s">
        <v>734</v>
      </c>
      <c r="F28" s="22" t="str">
        <f t="shared" si="0"/>
        <v>Comply</v>
      </c>
      <c r="G28" s="22" t="str">
        <f t="shared" si="6"/>
        <v/>
      </c>
      <c r="H28" s="22" t="str">
        <f t="shared" si="7"/>
        <v/>
      </c>
      <c r="I28" s="22" t="str">
        <f t="shared" si="8"/>
        <v/>
      </c>
      <c r="J28" s="22" t="str">
        <f t="shared" si="9"/>
        <v/>
      </c>
      <c r="K28" s="14"/>
    </row>
    <row r="29" spans="2:11" ht="29">
      <c r="B29" s="22" t="s">
        <v>142</v>
      </c>
      <c r="C29" s="56" t="s">
        <v>305</v>
      </c>
      <c r="D29" s="22" t="s">
        <v>578</v>
      </c>
      <c r="E29" s="22" t="s">
        <v>47</v>
      </c>
      <c r="F29" s="22" t="str">
        <f t="shared" si="0"/>
        <v>Comply</v>
      </c>
      <c r="G29" s="22" t="str">
        <f t="shared" si="6"/>
        <v/>
      </c>
      <c r="H29" s="22" t="str">
        <f t="shared" si="7"/>
        <v/>
      </c>
      <c r="I29" s="22" t="str">
        <f t="shared" si="8"/>
        <v/>
      </c>
      <c r="J29" s="22" t="str">
        <f t="shared" si="9"/>
        <v/>
      </c>
      <c r="K29" s="14"/>
    </row>
    <row r="30" spans="2:11">
      <c r="B30" s="22" t="s">
        <v>737</v>
      </c>
      <c r="C30" s="56" t="str">
        <f>IF(OR(Home!B150=TRUE,Home!B191=TRUE,Home!B266=TRUE,Home!B269=TRUE,Home!B270=TRUE),"Applicable","Not Applicable")</f>
        <v>Not Applicable</v>
      </c>
      <c r="D30" s="22" t="s">
        <v>578</v>
      </c>
      <c r="E30" s="22" t="s">
        <v>736</v>
      </c>
      <c r="F30" s="22" t="str">
        <f t="shared" si="0"/>
        <v>NA</v>
      </c>
      <c r="G30" s="22" t="str">
        <f t="shared" si="6"/>
        <v/>
      </c>
      <c r="H30" s="22" t="str">
        <f t="shared" si="7"/>
        <v/>
      </c>
      <c r="I30" s="22" t="str">
        <f t="shared" si="8"/>
        <v/>
      </c>
      <c r="J30" s="22" t="str">
        <f t="shared" si="9"/>
        <v/>
      </c>
      <c r="K30" s="14"/>
    </row>
    <row r="31" spans="2:11" ht="58">
      <c r="B31" s="22" t="s">
        <v>143</v>
      </c>
      <c r="C31" s="23" t="s">
        <v>305</v>
      </c>
      <c r="D31" s="22" t="s">
        <v>580</v>
      </c>
      <c r="E31" s="22" t="s">
        <v>735</v>
      </c>
      <c r="F31" s="22" t="str">
        <f t="shared" si="0"/>
        <v>Comply</v>
      </c>
      <c r="G31" s="22" t="str">
        <f t="shared" si="6"/>
        <v/>
      </c>
      <c r="H31" s="22" t="str">
        <f t="shared" si="7"/>
        <v/>
      </c>
      <c r="I31" s="22" t="str">
        <f t="shared" si="8"/>
        <v/>
      </c>
      <c r="J31" s="22" t="str">
        <f t="shared" si="9"/>
        <v/>
      </c>
      <c r="K31" s="14"/>
    </row>
  </sheetData>
  <conditionalFormatting sqref="C1:C1048576">
    <cfRule type="containsText" dxfId="272" priority="11" operator="containsText" text="Not Applicable">
      <formula>NOT(ISERROR(SEARCH("Not Applicable",C1)))</formula>
    </cfRule>
    <cfRule type="containsText" dxfId="271" priority="12" operator="containsText" text="Applicable">
      <formula>NOT(ISERROR(SEARCH("Applicable",C1)))</formula>
    </cfRule>
  </conditionalFormatting>
  <conditionalFormatting sqref="F4:F50">
    <cfRule type="containsText" dxfId="270" priority="7" operator="containsText" text="Not Comply">
      <formula>NOT(ISERROR(SEARCH("Not Comply",F4)))</formula>
    </cfRule>
    <cfRule type="containsText" dxfId="269" priority="8" operator="containsText" text="Comply">
      <formula>NOT(ISERROR(SEARCH("Comply",F4)))</formula>
    </cfRule>
  </conditionalFormatting>
  <conditionalFormatting sqref="G4:G31">
    <cfRule type="containsText" dxfId="268" priority="5" operator="containsText" text="Gaps to be stated here">
      <formula>NOT(ISERROR(SEARCH("Gaps to be stated here",G4)))</formula>
    </cfRule>
  </conditionalFormatting>
  <conditionalFormatting sqref="H4:H31">
    <cfRule type="containsText" dxfId="267" priority="6" operator="containsText" text="action to be stated here">
      <formula>NOT(ISERROR(SEARCH("action to be stated here",H4)))</formula>
    </cfRule>
  </conditionalFormatting>
  <conditionalFormatting sqref="I4:I31">
    <cfRule type="containsText" dxfId="266" priority="4" operator="containsText" text="Name of PIC to be stated here">
      <formula>NOT(ISERROR(SEARCH("Name of PIC to be stated here",I4)))</formula>
    </cfRule>
  </conditionalFormatting>
  <conditionalFormatting sqref="J4:J31">
    <cfRule type="containsText" dxfId="265" priority="3" operator="containsText" text="action date to be stated here">
      <formula>NOT(ISERROR(SEARCH("action date to be stated here",J4)))</formula>
    </cfRule>
  </conditionalFormatting>
  <conditionalFormatting sqref="K3">
    <cfRule type="expression" dxfId="264" priority="1">
      <formula>$K$2&gt;0</formula>
    </cfRule>
  </conditionalFormatting>
  <conditionalFormatting sqref="K4:K31">
    <cfRule type="expression" dxfId="263" priority="2">
      <formula>$K$2&gt;0</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D8C2B394-422B-41A4-8D30-2567EDE84ACB}">
          <x14:formula1>
            <xm:f>'back-data'!$B$4:$B$6</xm:f>
          </x14:formula1>
          <xm:sqref>D4:D31</xm:sqref>
        </x14:dataValidation>
        <x14:dataValidation type="list" allowBlank="1" showInputMessage="1" showErrorMessage="1" xr:uid="{272D9952-0E2A-4D45-96D3-C4F60BF38C11}">
          <x14:formula1>
            <xm:f>'back-data'!$B$13:$B$15</xm:f>
          </x14:formula1>
          <xm:sqref>F4:F31</xm:sqref>
        </x14:dataValidation>
        <x14:dataValidation type="list" allowBlank="1" showInputMessage="1" showErrorMessage="1" xr:uid="{83E22A2F-5014-41AE-85B2-CDF3330B9787}">
          <x14:formula1>
            <xm:f>Action_Tracker_Data!$B$4:$B$13</xm:f>
          </x14:formula1>
          <xm:sqref>K3:K1048576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7FC3F-1229-474F-AE00-5700726CCDE4}">
  <sheetPr>
    <tabColor rgb="FF024DC2"/>
  </sheetPr>
  <dimension ref="B1:K37"/>
  <sheetViews>
    <sheetView showGridLines="0" showRowColHeaders="0" topLeftCell="D1" zoomScaleNormal="100" workbookViewId="0">
      <selection activeCell="K3" sqref="K3"/>
    </sheetView>
  </sheetViews>
  <sheetFormatPr defaultRowHeight="14.5"/>
  <cols>
    <col min="1" max="1" width="27.81640625" customWidth="1"/>
    <col min="2" max="2" width="40.90625" style="8" customWidth="1"/>
    <col min="3" max="3" width="15" style="8" customWidth="1"/>
    <col min="4" max="5" width="26.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customWidth="1"/>
  </cols>
  <sheetData>
    <row r="1" spans="2:11" ht="16">
      <c r="B1" s="10" t="s">
        <v>498</v>
      </c>
      <c r="F1" s="15"/>
    </row>
    <row r="2" spans="2:11">
      <c r="F2" s="15"/>
      <c r="K2" s="132">
        <f>COUNTIF(F4:F100,"Not Comply")</f>
        <v>0</v>
      </c>
    </row>
    <row r="3" spans="2:11" s="8" customFormat="1" ht="29.5" thickBot="1">
      <c r="B3" s="21" t="s">
        <v>115</v>
      </c>
      <c r="C3" s="21" t="s">
        <v>48</v>
      </c>
      <c r="D3" s="21" t="s">
        <v>57</v>
      </c>
      <c r="E3" s="21" t="s">
        <v>1812</v>
      </c>
      <c r="F3" s="21" t="s">
        <v>1410</v>
      </c>
      <c r="G3" s="21" t="s">
        <v>1845</v>
      </c>
      <c r="H3" s="21" t="s">
        <v>1846</v>
      </c>
      <c r="I3" s="21" t="s">
        <v>1847</v>
      </c>
      <c r="J3" s="21" t="s">
        <v>1848</v>
      </c>
      <c r="K3" s="132" t="s">
        <v>2036</v>
      </c>
    </row>
    <row r="4" spans="2:11" ht="73" thickTop="1">
      <c r="B4" s="32" t="s">
        <v>464</v>
      </c>
      <c r="C4" s="29" t="str">
        <f>IF(OR(Home!B271=TRUE,Home!B270=TRUE),"Applicable","Not Applicable")</f>
        <v>Not Applicable</v>
      </c>
      <c r="D4" s="29" t="s">
        <v>580</v>
      </c>
      <c r="E4" s="32" t="s">
        <v>877</v>
      </c>
      <c r="F4" s="22" t="str">
        <f t="shared" ref="F4:F37"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465</v>
      </c>
      <c r="C5" s="23" t="str">
        <f t="shared" ref="C5" si="1">C4</f>
        <v>Not Applicable</v>
      </c>
      <c r="D5" s="23" t="s">
        <v>580</v>
      </c>
      <c r="E5" s="22" t="s">
        <v>878</v>
      </c>
      <c r="F5" s="22" t="str">
        <f t="shared" si="0"/>
        <v>NA</v>
      </c>
      <c r="G5" s="22" t="str">
        <f t="shared" ref="G5:G37" si="2">IF(F5="not comply","Gaps to be stated here","")</f>
        <v/>
      </c>
      <c r="H5" s="22" t="str">
        <f t="shared" ref="H5:H37" si="3">IF(F5="not comply","action to be stated here","")</f>
        <v/>
      </c>
      <c r="I5" s="22" t="str">
        <f t="shared" ref="I5:I37" si="4">IF(F5="not comply","Name of PIC to be stated here","")</f>
        <v/>
      </c>
      <c r="J5" s="22" t="str">
        <f t="shared" ref="J5:J37" si="5">IF(F5="not comply","action date to be stated here","")</f>
        <v/>
      </c>
      <c r="K5" s="14"/>
    </row>
    <row r="6" spans="2:11" ht="58">
      <c r="B6" s="22" t="s">
        <v>466</v>
      </c>
      <c r="C6" s="23" t="str">
        <f t="shared" ref="C6:C37" si="6">C5</f>
        <v>Not Applicable</v>
      </c>
      <c r="D6" s="23" t="s">
        <v>580</v>
      </c>
      <c r="E6" s="22" t="s">
        <v>879</v>
      </c>
      <c r="F6" s="22" t="str">
        <f t="shared" si="0"/>
        <v>NA</v>
      </c>
      <c r="G6" s="22" t="str">
        <f t="shared" si="2"/>
        <v/>
      </c>
      <c r="H6" s="22" t="str">
        <f t="shared" si="3"/>
        <v/>
      </c>
      <c r="I6" s="22" t="str">
        <f t="shared" si="4"/>
        <v/>
      </c>
      <c r="J6" s="22" t="str">
        <f t="shared" si="5"/>
        <v/>
      </c>
      <c r="K6" s="14"/>
    </row>
    <row r="7" spans="2:11" ht="43.5">
      <c r="B7" s="22" t="s">
        <v>467</v>
      </c>
      <c r="C7" s="23" t="str">
        <f t="shared" si="6"/>
        <v>Not Applicable</v>
      </c>
      <c r="D7" s="23" t="s">
        <v>580</v>
      </c>
      <c r="E7" s="22" t="s">
        <v>880</v>
      </c>
      <c r="F7" s="22" t="str">
        <f t="shared" si="0"/>
        <v>NA</v>
      </c>
      <c r="G7" s="22" t="str">
        <f t="shared" si="2"/>
        <v/>
      </c>
      <c r="H7" s="22" t="str">
        <f t="shared" si="3"/>
        <v/>
      </c>
      <c r="I7" s="22" t="str">
        <f t="shared" si="4"/>
        <v/>
      </c>
      <c r="J7" s="22" t="str">
        <f t="shared" si="5"/>
        <v/>
      </c>
      <c r="K7" s="14"/>
    </row>
    <row r="8" spans="2:11" ht="58">
      <c r="B8" s="22" t="s">
        <v>468</v>
      </c>
      <c r="C8" s="23" t="str">
        <f t="shared" si="6"/>
        <v>Not Applicable</v>
      </c>
      <c r="D8" s="23" t="s">
        <v>578</v>
      </c>
      <c r="E8" s="22" t="s">
        <v>881</v>
      </c>
      <c r="F8" s="22" t="str">
        <f t="shared" si="0"/>
        <v>NA</v>
      </c>
      <c r="G8" s="22" t="str">
        <f t="shared" si="2"/>
        <v/>
      </c>
      <c r="H8" s="22" t="str">
        <f t="shared" si="3"/>
        <v/>
      </c>
      <c r="I8" s="22" t="str">
        <f t="shared" si="4"/>
        <v/>
      </c>
      <c r="J8" s="22" t="str">
        <f t="shared" si="5"/>
        <v/>
      </c>
      <c r="K8" s="14"/>
    </row>
    <row r="9" spans="2:11" ht="58">
      <c r="B9" s="22" t="s">
        <v>469</v>
      </c>
      <c r="C9" s="23" t="str">
        <f t="shared" si="6"/>
        <v>Not Applicable</v>
      </c>
      <c r="D9" s="23" t="s">
        <v>578</v>
      </c>
      <c r="E9" s="22" t="s">
        <v>882</v>
      </c>
      <c r="F9" s="22" t="str">
        <f t="shared" si="0"/>
        <v>NA</v>
      </c>
      <c r="G9" s="22" t="str">
        <f t="shared" si="2"/>
        <v/>
      </c>
      <c r="H9" s="22" t="str">
        <f t="shared" si="3"/>
        <v/>
      </c>
      <c r="I9" s="22" t="str">
        <f t="shared" si="4"/>
        <v/>
      </c>
      <c r="J9" s="22" t="str">
        <f t="shared" si="5"/>
        <v/>
      </c>
      <c r="K9" s="14"/>
    </row>
    <row r="10" spans="2:11" ht="43.5">
      <c r="B10" s="22" t="s">
        <v>470</v>
      </c>
      <c r="C10" s="23" t="str">
        <f t="shared" si="6"/>
        <v>Not Applicable</v>
      </c>
      <c r="D10" s="23" t="s">
        <v>578</v>
      </c>
      <c r="E10" s="22" t="s">
        <v>883</v>
      </c>
      <c r="F10" s="22" t="str">
        <f t="shared" si="0"/>
        <v>NA</v>
      </c>
      <c r="G10" s="22" t="str">
        <f t="shared" si="2"/>
        <v/>
      </c>
      <c r="H10" s="22" t="str">
        <f t="shared" si="3"/>
        <v/>
      </c>
      <c r="I10" s="22" t="str">
        <f t="shared" si="4"/>
        <v/>
      </c>
      <c r="J10" s="22" t="str">
        <f t="shared" si="5"/>
        <v/>
      </c>
      <c r="K10" s="14"/>
    </row>
    <row r="11" spans="2:11" ht="43.5">
      <c r="B11" s="22" t="s">
        <v>471</v>
      </c>
      <c r="C11" s="23" t="str">
        <f t="shared" si="6"/>
        <v>Not Applicable</v>
      </c>
      <c r="D11" s="23" t="s">
        <v>580</v>
      </c>
      <c r="E11" s="22" t="s">
        <v>884</v>
      </c>
      <c r="F11" s="22" t="str">
        <f t="shared" si="0"/>
        <v>NA</v>
      </c>
      <c r="G11" s="22" t="str">
        <f t="shared" si="2"/>
        <v/>
      </c>
      <c r="H11" s="22" t="str">
        <f t="shared" si="3"/>
        <v/>
      </c>
      <c r="I11" s="22" t="str">
        <f t="shared" si="4"/>
        <v/>
      </c>
      <c r="J11" s="22" t="str">
        <f t="shared" si="5"/>
        <v/>
      </c>
      <c r="K11" s="14"/>
    </row>
    <row r="12" spans="2:11" ht="29">
      <c r="B12" s="22" t="s">
        <v>472</v>
      </c>
      <c r="C12" s="23" t="str">
        <f t="shared" si="6"/>
        <v>Not Applicable</v>
      </c>
      <c r="D12" s="23" t="s">
        <v>578</v>
      </c>
      <c r="E12" s="22" t="s">
        <v>885</v>
      </c>
      <c r="F12" s="22" t="str">
        <f t="shared" si="0"/>
        <v>NA</v>
      </c>
      <c r="G12" s="22" t="str">
        <f t="shared" si="2"/>
        <v/>
      </c>
      <c r="H12" s="22" t="str">
        <f t="shared" si="3"/>
        <v/>
      </c>
      <c r="I12" s="22" t="str">
        <f t="shared" si="4"/>
        <v/>
      </c>
      <c r="J12" s="22" t="str">
        <f t="shared" si="5"/>
        <v/>
      </c>
      <c r="K12" s="14"/>
    </row>
    <row r="13" spans="2:11" ht="43.5">
      <c r="B13" s="22" t="s">
        <v>473</v>
      </c>
      <c r="C13" s="23" t="str">
        <f t="shared" si="6"/>
        <v>Not Applicable</v>
      </c>
      <c r="D13" s="23" t="s">
        <v>578</v>
      </c>
      <c r="E13" s="22" t="s">
        <v>886</v>
      </c>
      <c r="F13" s="22" t="str">
        <f t="shared" si="0"/>
        <v>NA</v>
      </c>
      <c r="G13" s="22" t="str">
        <f t="shared" si="2"/>
        <v/>
      </c>
      <c r="H13" s="22" t="str">
        <f t="shared" si="3"/>
        <v/>
      </c>
      <c r="I13" s="22" t="str">
        <f t="shared" si="4"/>
        <v/>
      </c>
      <c r="J13" s="22" t="str">
        <f t="shared" si="5"/>
        <v/>
      </c>
      <c r="K13" s="14"/>
    </row>
    <row r="14" spans="2:11" ht="43.5">
      <c r="B14" s="22" t="s">
        <v>474</v>
      </c>
      <c r="C14" s="23" t="str">
        <f t="shared" si="6"/>
        <v>Not Applicable</v>
      </c>
      <c r="D14" s="23" t="s">
        <v>578</v>
      </c>
      <c r="E14" s="22" t="s">
        <v>887</v>
      </c>
      <c r="F14" s="22" t="str">
        <f t="shared" si="0"/>
        <v>NA</v>
      </c>
      <c r="G14" s="22" t="str">
        <f t="shared" si="2"/>
        <v/>
      </c>
      <c r="H14" s="22" t="str">
        <f t="shared" si="3"/>
        <v/>
      </c>
      <c r="I14" s="22" t="str">
        <f t="shared" si="4"/>
        <v/>
      </c>
      <c r="J14" s="22" t="str">
        <f t="shared" si="5"/>
        <v/>
      </c>
      <c r="K14" s="14"/>
    </row>
    <row r="15" spans="2:11" ht="29">
      <c r="B15" s="22" t="s">
        <v>475</v>
      </c>
      <c r="C15" s="23" t="str">
        <f t="shared" si="6"/>
        <v>Not Applicable</v>
      </c>
      <c r="D15" s="23" t="s">
        <v>578</v>
      </c>
      <c r="E15" s="22" t="s">
        <v>888</v>
      </c>
      <c r="F15" s="22" t="str">
        <f t="shared" si="0"/>
        <v>NA</v>
      </c>
      <c r="G15" s="22" t="str">
        <f t="shared" si="2"/>
        <v/>
      </c>
      <c r="H15" s="22" t="str">
        <f t="shared" si="3"/>
        <v/>
      </c>
      <c r="I15" s="22" t="str">
        <f t="shared" si="4"/>
        <v/>
      </c>
      <c r="J15" s="22" t="str">
        <f t="shared" si="5"/>
        <v/>
      </c>
      <c r="K15" s="14"/>
    </row>
    <row r="16" spans="2:11" ht="43.5">
      <c r="B16" s="22" t="s">
        <v>476</v>
      </c>
      <c r="C16" s="23" t="str">
        <f t="shared" si="6"/>
        <v>Not Applicable</v>
      </c>
      <c r="D16" s="23" t="s">
        <v>580</v>
      </c>
      <c r="E16" s="22" t="s">
        <v>889</v>
      </c>
      <c r="F16" s="22" t="str">
        <f t="shared" si="0"/>
        <v>NA</v>
      </c>
      <c r="G16" s="22" t="str">
        <f t="shared" si="2"/>
        <v/>
      </c>
      <c r="H16" s="22" t="str">
        <f t="shared" si="3"/>
        <v/>
      </c>
      <c r="I16" s="22" t="str">
        <f t="shared" si="4"/>
        <v/>
      </c>
      <c r="J16" s="22" t="str">
        <f t="shared" si="5"/>
        <v/>
      </c>
      <c r="K16" s="14"/>
    </row>
    <row r="17" spans="2:11" ht="43.5">
      <c r="B17" s="22" t="s">
        <v>477</v>
      </c>
      <c r="C17" s="23" t="str">
        <f t="shared" si="6"/>
        <v>Not Applicable</v>
      </c>
      <c r="D17" s="23" t="s">
        <v>580</v>
      </c>
      <c r="E17" s="22" t="s">
        <v>890</v>
      </c>
      <c r="F17" s="22" t="str">
        <f t="shared" si="0"/>
        <v>NA</v>
      </c>
      <c r="G17" s="22" t="str">
        <f t="shared" si="2"/>
        <v/>
      </c>
      <c r="H17" s="22" t="str">
        <f t="shared" si="3"/>
        <v/>
      </c>
      <c r="I17" s="22" t="str">
        <f t="shared" si="4"/>
        <v/>
      </c>
      <c r="J17" s="22" t="str">
        <f t="shared" si="5"/>
        <v/>
      </c>
      <c r="K17" s="14"/>
    </row>
    <row r="18" spans="2:11" ht="43.5">
      <c r="B18" s="22" t="s">
        <v>478</v>
      </c>
      <c r="C18" s="23" t="str">
        <f t="shared" si="6"/>
        <v>Not Applicable</v>
      </c>
      <c r="D18" s="23" t="s">
        <v>580</v>
      </c>
      <c r="E18" s="22" t="s">
        <v>891</v>
      </c>
      <c r="F18" s="22" t="str">
        <f t="shared" si="0"/>
        <v>NA</v>
      </c>
      <c r="G18" s="22" t="str">
        <f t="shared" si="2"/>
        <v/>
      </c>
      <c r="H18" s="22" t="str">
        <f t="shared" si="3"/>
        <v/>
      </c>
      <c r="I18" s="22" t="str">
        <f t="shared" si="4"/>
        <v/>
      </c>
      <c r="J18" s="22" t="str">
        <f t="shared" si="5"/>
        <v/>
      </c>
      <c r="K18" s="14"/>
    </row>
    <row r="19" spans="2:11" ht="43.5">
      <c r="B19" s="22" t="s">
        <v>479</v>
      </c>
      <c r="C19" s="23" t="str">
        <f t="shared" si="6"/>
        <v>Not Applicable</v>
      </c>
      <c r="D19" s="23" t="s">
        <v>580</v>
      </c>
      <c r="E19" s="22" t="s">
        <v>892</v>
      </c>
      <c r="F19" s="22" t="str">
        <f t="shared" si="0"/>
        <v>NA</v>
      </c>
      <c r="G19" s="22" t="str">
        <f t="shared" si="2"/>
        <v/>
      </c>
      <c r="H19" s="22" t="str">
        <f t="shared" si="3"/>
        <v/>
      </c>
      <c r="I19" s="22" t="str">
        <f t="shared" si="4"/>
        <v/>
      </c>
      <c r="J19" s="22" t="str">
        <f t="shared" si="5"/>
        <v/>
      </c>
      <c r="K19" s="14"/>
    </row>
    <row r="20" spans="2:11" ht="43.5">
      <c r="B20" s="22" t="s">
        <v>480</v>
      </c>
      <c r="C20" s="23" t="str">
        <f t="shared" si="6"/>
        <v>Not Applicable</v>
      </c>
      <c r="D20" s="23" t="s">
        <v>578</v>
      </c>
      <c r="E20" s="22" t="s">
        <v>893</v>
      </c>
      <c r="F20" s="22" t="str">
        <f t="shared" si="0"/>
        <v>NA</v>
      </c>
      <c r="G20" s="22" t="str">
        <f t="shared" si="2"/>
        <v/>
      </c>
      <c r="H20" s="22" t="str">
        <f t="shared" si="3"/>
        <v/>
      </c>
      <c r="I20" s="22" t="str">
        <f t="shared" si="4"/>
        <v/>
      </c>
      <c r="J20" s="22" t="str">
        <f t="shared" si="5"/>
        <v/>
      </c>
      <c r="K20" s="14"/>
    </row>
    <row r="21" spans="2:11" ht="29">
      <c r="B21" s="22" t="s">
        <v>481</v>
      </c>
      <c r="C21" s="23" t="str">
        <f t="shared" si="6"/>
        <v>Not Applicable</v>
      </c>
      <c r="D21" s="23" t="s">
        <v>578</v>
      </c>
      <c r="E21" s="22" t="s">
        <v>894</v>
      </c>
      <c r="F21" s="22" t="str">
        <f t="shared" si="0"/>
        <v>NA</v>
      </c>
      <c r="G21" s="22" t="str">
        <f t="shared" si="2"/>
        <v/>
      </c>
      <c r="H21" s="22" t="str">
        <f t="shared" si="3"/>
        <v/>
      </c>
      <c r="I21" s="22" t="str">
        <f t="shared" si="4"/>
        <v/>
      </c>
      <c r="J21" s="22" t="str">
        <f t="shared" si="5"/>
        <v/>
      </c>
      <c r="K21" s="14"/>
    </row>
    <row r="22" spans="2:11" ht="29">
      <c r="B22" s="22" t="s">
        <v>482</v>
      </c>
      <c r="C22" s="23" t="str">
        <f t="shared" si="6"/>
        <v>Not Applicable</v>
      </c>
      <c r="D22" s="23" t="s">
        <v>578</v>
      </c>
      <c r="E22" s="22" t="s">
        <v>895</v>
      </c>
      <c r="F22" s="22" t="str">
        <f t="shared" si="0"/>
        <v>NA</v>
      </c>
      <c r="G22" s="22" t="str">
        <f t="shared" si="2"/>
        <v/>
      </c>
      <c r="H22" s="22" t="str">
        <f t="shared" si="3"/>
        <v/>
      </c>
      <c r="I22" s="22" t="str">
        <f t="shared" si="4"/>
        <v/>
      </c>
      <c r="J22" s="22" t="str">
        <f t="shared" si="5"/>
        <v/>
      </c>
      <c r="K22" s="14"/>
    </row>
    <row r="23" spans="2:11" ht="58">
      <c r="B23" s="22" t="s">
        <v>483</v>
      </c>
      <c r="C23" s="23" t="str">
        <f t="shared" si="6"/>
        <v>Not Applicable</v>
      </c>
      <c r="D23" s="23" t="s">
        <v>580</v>
      </c>
      <c r="E23" s="22" t="s">
        <v>896</v>
      </c>
      <c r="F23" s="22" t="str">
        <f t="shared" si="0"/>
        <v>NA</v>
      </c>
      <c r="G23" s="22" t="str">
        <f t="shared" si="2"/>
        <v/>
      </c>
      <c r="H23" s="22" t="str">
        <f t="shared" si="3"/>
        <v/>
      </c>
      <c r="I23" s="22" t="str">
        <f t="shared" si="4"/>
        <v/>
      </c>
      <c r="J23" s="22" t="str">
        <f t="shared" si="5"/>
        <v/>
      </c>
      <c r="K23" s="14"/>
    </row>
    <row r="24" spans="2:11" ht="43.5">
      <c r="B24" s="22" t="s">
        <v>484</v>
      </c>
      <c r="C24" s="23" t="str">
        <f t="shared" si="6"/>
        <v>Not Applicable</v>
      </c>
      <c r="D24" s="23" t="s">
        <v>580</v>
      </c>
      <c r="E24" s="22" t="s">
        <v>897</v>
      </c>
      <c r="F24" s="22" t="str">
        <f t="shared" si="0"/>
        <v>NA</v>
      </c>
      <c r="G24" s="22" t="str">
        <f t="shared" si="2"/>
        <v/>
      </c>
      <c r="H24" s="22" t="str">
        <f t="shared" si="3"/>
        <v/>
      </c>
      <c r="I24" s="22" t="str">
        <f t="shared" si="4"/>
        <v/>
      </c>
      <c r="J24" s="22" t="str">
        <f t="shared" si="5"/>
        <v/>
      </c>
      <c r="K24" s="14"/>
    </row>
    <row r="25" spans="2:11" ht="43.5">
      <c r="B25" s="22" t="s">
        <v>485</v>
      </c>
      <c r="C25" s="23" t="str">
        <f t="shared" si="6"/>
        <v>Not Applicable</v>
      </c>
      <c r="D25" s="23" t="s">
        <v>580</v>
      </c>
      <c r="E25" s="22" t="s">
        <v>898</v>
      </c>
      <c r="F25" s="22" t="str">
        <f t="shared" si="0"/>
        <v>NA</v>
      </c>
      <c r="G25" s="22" t="str">
        <f t="shared" si="2"/>
        <v/>
      </c>
      <c r="H25" s="22" t="str">
        <f t="shared" si="3"/>
        <v/>
      </c>
      <c r="I25" s="22" t="str">
        <f t="shared" si="4"/>
        <v/>
      </c>
      <c r="J25" s="22" t="str">
        <f t="shared" si="5"/>
        <v/>
      </c>
      <c r="K25" s="14"/>
    </row>
    <row r="26" spans="2:11" ht="43.5">
      <c r="B26" s="22" t="s">
        <v>486</v>
      </c>
      <c r="C26" s="23" t="str">
        <f t="shared" si="6"/>
        <v>Not Applicable</v>
      </c>
      <c r="D26" s="23" t="s">
        <v>578</v>
      </c>
      <c r="E26" s="22" t="s">
        <v>899</v>
      </c>
      <c r="F26" s="22" t="str">
        <f t="shared" si="0"/>
        <v>NA</v>
      </c>
      <c r="G26" s="22" t="str">
        <f t="shared" si="2"/>
        <v/>
      </c>
      <c r="H26" s="22" t="str">
        <f t="shared" si="3"/>
        <v/>
      </c>
      <c r="I26" s="22" t="str">
        <f t="shared" si="4"/>
        <v/>
      </c>
      <c r="J26" s="22" t="str">
        <f t="shared" si="5"/>
        <v/>
      </c>
      <c r="K26" s="14"/>
    </row>
    <row r="27" spans="2:11" ht="43.5">
      <c r="B27" s="22" t="s">
        <v>487</v>
      </c>
      <c r="C27" s="23" t="str">
        <f t="shared" si="6"/>
        <v>Not Applicable</v>
      </c>
      <c r="D27" s="23" t="s">
        <v>578</v>
      </c>
      <c r="E27" s="22" t="s">
        <v>900</v>
      </c>
      <c r="F27" s="22" t="str">
        <f t="shared" si="0"/>
        <v>NA</v>
      </c>
      <c r="G27" s="22" t="str">
        <f t="shared" si="2"/>
        <v/>
      </c>
      <c r="H27" s="22" t="str">
        <f t="shared" si="3"/>
        <v/>
      </c>
      <c r="I27" s="22" t="str">
        <f t="shared" si="4"/>
        <v/>
      </c>
      <c r="J27" s="22" t="str">
        <f t="shared" si="5"/>
        <v/>
      </c>
      <c r="K27" s="14"/>
    </row>
    <row r="28" spans="2:11" ht="43.5">
      <c r="B28" s="22" t="s">
        <v>488</v>
      </c>
      <c r="C28" s="23" t="str">
        <f t="shared" si="6"/>
        <v>Not Applicable</v>
      </c>
      <c r="D28" s="23" t="s">
        <v>580</v>
      </c>
      <c r="E28" s="22" t="s">
        <v>901</v>
      </c>
      <c r="F28" s="22" t="str">
        <f t="shared" si="0"/>
        <v>NA</v>
      </c>
      <c r="G28" s="22" t="str">
        <f t="shared" si="2"/>
        <v/>
      </c>
      <c r="H28" s="22" t="str">
        <f t="shared" si="3"/>
        <v/>
      </c>
      <c r="I28" s="22" t="str">
        <f t="shared" si="4"/>
        <v/>
      </c>
      <c r="J28" s="22" t="str">
        <f t="shared" si="5"/>
        <v/>
      </c>
      <c r="K28" s="14"/>
    </row>
    <row r="29" spans="2:11" ht="43.5">
      <c r="B29" s="22" t="s">
        <v>489</v>
      </c>
      <c r="C29" s="23" t="str">
        <f t="shared" si="6"/>
        <v>Not Applicable</v>
      </c>
      <c r="D29" s="23" t="s">
        <v>580</v>
      </c>
      <c r="E29" s="22" t="s">
        <v>902</v>
      </c>
      <c r="F29" s="22" t="str">
        <f t="shared" si="0"/>
        <v>NA</v>
      </c>
      <c r="G29" s="22" t="str">
        <f t="shared" si="2"/>
        <v/>
      </c>
      <c r="H29" s="22" t="str">
        <f t="shared" si="3"/>
        <v/>
      </c>
      <c r="I29" s="22" t="str">
        <f t="shared" si="4"/>
        <v/>
      </c>
      <c r="J29" s="22" t="str">
        <f t="shared" si="5"/>
        <v/>
      </c>
      <c r="K29" s="14"/>
    </row>
    <row r="30" spans="2:11" ht="43.5">
      <c r="B30" s="22" t="s">
        <v>490</v>
      </c>
      <c r="C30" s="23" t="str">
        <f t="shared" si="6"/>
        <v>Not Applicable</v>
      </c>
      <c r="D30" s="23" t="s">
        <v>580</v>
      </c>
      <c r="E30" s="22" t="s">
        <v>903</v>
      </c>
      <c r="F30" s="22" t="str">
        <f t="shared" si="0"/>
        <v>NA</v>
      </c>
      <c r="G30" s="22" t="str">
        <f t="shared" si="2"/>
        <v/>
      </c>
      <c r="H30" s="22" t="str">
        <f t="shared" si="3"/>
        <v/>
      </c>
      <c r="I30" s="22" t="str">
        <f t="shared" si="4"/>
        <v/>
      </c>
      <c r="J30" s="22" t="str">
        <f t="shared" si="5"/>
        <v/>
      </c>
      <c r="K30" s="14"/>
    </row>
    <row r="31" spans="2:11" ht="29">
      <c r="B31" s="22" t="s">
        <v>491</v>
      </c>
      <c r="C31" s="23" t="str">
        <f t="shared" si="6"/>
        <v>Not Applicable</v>
      </c>
      <c r="D31" s="23" t="s">
        <v>578</v>
      </c>
      <c r="E31" s="22" t="s">
        <v>904</v>
      </c>
      <c r="F31" s="22" t="str">
        <f t="shared" si="0"/>
        <v>NA</v>
      </c>
      <c r="G31" s="22" t="str">
        <f t="shared" si="2"/>
        <v/>
      </c>
      <c r="H31" s="22" t="str">
        <f t="shared" si="3"/>
        <v/>
      </c>
      <c r="I31" s="22" t="str">
        <f t="shared" si="4"/>
        <v/>
      </c>
      <c r="J31" s="22" t="str">
        <f t="shared" si="5"/>
        <v/>
      </c>
      <c r="K31" s="14"/>
    </row>
    <row r="32" spans="2:11" ht="43.5">
      <c r="B32" s="22" t="s">
        <v>492</v>
      </c>
      <c r="C32" s="23" t="str">
        <f t="shared" si="6"/>
        <v>Not Applicable</v>
      </c>
      <c r="D32" s="23" t="s">
        <v>580</v>
      </c>
      <c r="E32" s="22" t="s">
        <v>905</v>
      </c>
      <c r="F32" s="22" t="str">
        <f t="shared" si="0"/>
        <v>NA</v>
      </c>
      <c r="G32" s="22" t="str">
        <f t="shared" si="2"/>
        <v/>
      </c>
      <c r="H32" s="22" t="str">
        <f t="shared" si="3"/>
        <v/>
      </c>
      <c r="I32" s="22" t="str">
        <f t="shared" si="4"/>
        <v/>
      </c>
      <c r="J32" s="22" t="str">
        <f t="shared" si="5"/>
        <v/>
      </c>
      <c r="K32" s="14"/>
    </row>
    <row r="33" spans="2:11" ht="58">
      <c r="B33" s="22" t="s">
        <v>493</v>
      </c>
      <c r="C33" s="23" t="str">
        <f t="shared" si="6"/>
        <v>Not Applicable</v>
      </c>
      <c r="D33" s="23" t="s">
        <v>578</v>
      </c>
      <c r="E33" s="22" t="s">
        <v>906</v>
      </c>
      <c r="F33" s="22" t="str">
        <f t="shared" si="0"/>
        <v>NA</v>
      </c>
      <c r="G33" s="22" t="str">
        <f t="shared" si="2"/>
        <v/>
      </c>
      <c r="H33" s="22" t="str">
        <f t="shared" si="3"/>
        <v/>
      </c>
      <c r="I33" s="22" t="str">
        <f t="shared" si="4"/>
        <v/>
      </c>
      <c r="J33" s="22" t="str">
        <f t="shared" si="5"/>
        <v/>
      </c>
      <c r="K33" s="14"/>
    </row>
    <row r="34" spans="2:11" ht="43.5">
      <c r="B34" s="22" t="s">
        <v>494</v>
      </c>
      <c r="C34" s="23" t="str">
        <f t="shared" si="6"/>
        <v>Not Applicable</v>
      </c>
      <c r="D34" s="23" t="s">
        <v>580</v>
      </c>
      <c r="E34" s="22" t="s">
        <v>907</v>
      </c>
      <c r="F34" s="22" t="str">
        <f t="shared" si="0"/>
        <v>NA</v>
      </c>
      <c r="G34" s="22" t="str">
        <f t="shared" si="2"/>
        <v/>
      </c>
      <c r="H34" s="22" t="str">
        <f t="shared" si="3"/>
        <v/>
      </c>
      <c r="I34" s="22" t="str">
        <f t="shared" si="4"/>
        <v/>
      </c>
      <c r="J34" s="22" t="str">
        <f t="shared" si="5"/>
        <v/>
      </c>
      <c r="K34" s="14"/>
    </row>
    <row r="35" spans="2:11" ht="29">
      <c r="B35" s="22" t="s">
        <v>495</v>
      </c>
      <c r="C35" s="23" t="str">
        <f t="shared" si="6"/>
        <v>Not Applicable</v>
      </c>
      <c r="D35" s="23" t="s">
        <v>578</v>
      </c>
      <c r="E35" s="22" t="s">
        <v>908</v>
      </c>
      <c r="F35" s="22" t="str">
        <f t="shared" si="0"/>
        <v>NA</v>
      </c>
      <c r="G35" s="22" t="str">
        <f t="shared" si="2"/>
        <v/>
      </c>
      <c r="H35" s="22" t="str">
        <f t="shared" si="3"/>
        <v/>
      </c>
      <c r="I35" s="22" t="str">
        <f t="shared" si="4"/>
        <v/>
      </c>
      <c r="J35" s="22" t="str">
        <f t="shared" si="5"/>
        <v/>
      </c>
      <c r="K35" s="14"/>
    </row>
    <row r="36" spans="2:11" ht="29">
      <c r="B36" s="22" t="s">
        <v>496</v>
      </c>
      <c r="C36" s="23" t="str">
        <f t="shared" si="6"/>
        <v>Not Applicable</v>
      </c>
      <c r="D36" s="23" t="s">
        <v>578</v>
      </c>
      <c r="E36" s="22" t="s">
        <v>909</v>
      </c>
      <c r="F36" s="22" t="str">
        <f t="shared" si="0"/>
        <v>NA</v>
      </c>
      <c r="G36" s="22" t="str">
        <f t="shared" si="2"/>
        <v/>
      </c>
      <c r="H36" s="22" t="str">
        <f t="shared" si="3"/>
        <v/>
      </c>
      <c r="I36" s="22" t="str">
        <f t="shared" si="4"/>
        <v/>
      </c>
      <c r="J36" s="22" t="str">
        <f t="shared" si="5"/>
        <v/>
      </c>
      <c r="K36" s="14"/>
    </row>
    <row r="37" spans="2:11" ht="43.5">
      <c r="B37" s="22" t="s">
        <v>497</v>
      </c>
      <c r="C37" s="23" t="str">
        <f t="shared" si="6"/>
        <v>Not Applicable</v>
      </c>
      <c r="D37" s="23" t="s">
        <v>578</v>
      </c>
      <c r="E37" s="22" t="s">
        <v>910</v>
      </c>
      <c r="F37" s="22" t="str">
        <f t="shared" si="0"/>
        <v>NA</v>
      </c>
      <c r="G37" s="22" t="str">
        <f t="shared" si="2"/>
        <v/>
      </c>
      <c r="H37" s="22" t="str">
        <f t="shared" si="3"/>
        <v/>
      </c>
      <c r="I37" s="22" t="str">
        <f t="shared" si="4"/>
        <v/>
      </c>
      <c r="J37" s="22" t="str">
        <f t="shared" si="5"/>
        <v/>
      </c>
      <c r="K37" s="14"/>
    </row>
  </sheetData>
  <conditionalFormatting sqref="C1:C1048576">
    <cfRule type="containsText" dxfId="262" priority="13" operator="containsText" text="Not Applicable">
      <formula>NOT(ISERROR(SEARCH("Not Applicable",C1)))</formula>
    </cfRule>
    <cfRule type="containsText" dxfId="261" priority="14" operator="containsText" text="Applicable">
      <formula>NOT(ISERROR(SEARCH("Applicable",C1)))</formula>
    </cfRule>
  </conditionalFormatting>
  <conditionalFormatting sqref="F4:F50">
    <cfRule type="containsText" dxfId="260" priority="9" operator="containsText" text="Not">
      <formula>NOT(ISERROR(SEARCH("Not",F4)))</formula>
    </cfRule>
    <cfRule type="containsText" dxfId="259" priority="10" operator="containsText" text="Comply">
      <formula>NOT(ISERROR(SEARCH("Comply",F4)))</formula>
    </cfRule>
  </conditionalFormatting>
  <conditionalFormatting sqref="G4:G37">
    <cfRule type="containsText" dxfId="258" priority="4" operator="containsText" text="Gaps to be stated here">
      <formula>NOT(ISERROR(SEARCH("Gaps to be stated here",G4)))</formula>
    </cfRule>
  </conditionalFormatting>
  <conditionalFormatting sqref="H4:H37">
    <cfRule type="containsText" dxfId="257" priority="5" operator="containsText" text="action to be stated here">
      <formula>NOT(ISERROR(SEARCH("action to be stated here",H4)))</formula>
    </cfRule>
  </conditionalFormatting>
  <conditionalFormatting sqref="I4:I37">
    <cfRule type="containsText" dxfId="256" priority="3" operator="containsText" text="Name of PIC to be stated here">
      <formula>NOT(ISERROR(SEARCH("Name of PIC to be stated here",I4)))</formula>
    </cfRule>
  </conditionalFormatting>
  <conditionalFormatting sqref="J4:J37">
    <cfRule type="containsText" dxfId="255" priority="2" operator="containsText" text="action date to be stated here">
      <formula>NOT(ISERROR(SEARCH("action date to be stated here",J4)))</formula>
    </cfRule>
  </conditionalFormatting>
  <conditionalFormatting sqref="K3">
    <cfRule type="expression" dxfId="254" priority="1">
      <formula>$K$2&gt;0</formula>
    </cfRule>
  </conditionalFormatting>
  <conditionalFormatting sqref="K4:K37">
    <cfRule type="expression" dxfId="253"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79257F58-F939-4638-99C0-814041991E10}">
          <x14:formula1>
            <xm:f>'back-data'!$B$4:$B$6</xm:f>
          </x14:formula1>
          <xm:sqref>D4:D37</xm:sqref>
        </x14:dataValidation>
        <x14:dataValidation type="list" allowBlank="1" showInputMessage="1" showErrorMessage="1" xr:uid="{2952FD94-0A0D-47FA-A01F-08ABCF349800}">
          <x14:formula1>
            <xm:f>'back-data'!$B$13:$B$15</xm:f>
          </x14:formula1>
          <xm:sqref>F4:F37</xm:sqref>
        </x14:dataValidation>
        <x14:dataValidation type="list" allowBlank="1" showInputMessage="1" showErrorMessage="1" xr:uid="{B161F8AA-17CC-4AF9-A1CC-F49875DFD530}">
          <x14:formula1>
            <xm:f>Action_Tracker_Data!$C$4:$C$13</xm:f>
          </x14:formula1>
          <xm:sqref>K4:K37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5369-4628-44D1-A165-302EA5522042}">
  <sheetPr>
    <tabColor rgb="FF024DC2"/>
  </sheetPr>
  <dimension ref="B1:K35"/>
  <sheetViews>
    <sheetView showGridLines="0" showRowColHeaders="0" topLeftCell="C1" zoomScaleNormal="100" workbookViewId="0">
      <selection activeCell="K3" sqref="K3"/>
    </sheetView>
  </sheetViews>
  <sheetFormatPr defaultRowHeight="14.5"/>
  <cols>
    <col min="1" max="1" width="27.81640625" style="8" customWidth="1"/>
    <col min="2" max="2" width="50.81640625" style="14" customWidth="1"/>
    <col min="3" max="3" width="18.08984375" style="20" customWidth="1"/>
    <col min="4" max="4" width="22.6328125" style="20" customWidth="1"/>
    <col min="5" max="5" width="22.81640625" style="14"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ht="16">
      <c r="B1" s="34" t="s">
        <v>1015</v>
      </c>
      <c r="F1" s="15"/>
    </row>
    <row r="2" spans="2:11">
      <c r="F2" s="15"/>
      <c r="K2" s="132">
        <f>COUNTIF(F4:F100,"Not Comply")</f>
        <v>0</v>
      </c>
    </row>
    <row r="3" spans="2:11" ht="29.5" thickBot="1">
      <c r="B3" s="21" t="s">
        <v>115</v>
      </c>
      <c r="C3" s="21" t="s">
        <v>48</v>
      </c>
      <c r="D3" s="21" t="s">
        <v>57</v>
      </c>
      <c r="E3" s="21" t="s">
        <v>1812</v>
      </c>
      <c r="F3" s="21" t="s">
        <v>1410</v>
      </c>
      <c r="G3" s="21" t="s">
        <v>1845</v>
      </c>
      <c r="H3" s="21" t="s">
        <v>1846</v>
      </c>
      <c r="I3" s="21" t="s">
        <v>1847</v>
      </c>
      <c r="J3" s="21" t="s">
        <v>1848</v>
      </c>
      <c r="K3" s="132" t="s">
        <v>2036</v>
      </c>
    </row>
    <row r="4" spans="2:11" ht="44" thickTop="1">
      <c r="B4" s="22" t="s">
        <v>590</v>
      </c>
      <c r="C4" s="23" t="str">
        <f>IF(Home!B43=TRUE,"Applicable","Not Applicable")</f>
        <v>Not Applicable</v>
      </c>
      <c r="D4" s="23" t="s">
        <v>578</v>
      </c>
      <c r="E4" s="22" t="s">
        <v>44</v>
      </c>
      <c r="F4" s="22" t="str">
        <f t="shared" ref="F4:F35"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29">
      <c r="B5" s="22" t="s">
        <v>591</v>
      </c>
      <c r="C5" s="23" t="str">
        <f t="shared" ref="C5" si="1">C4</f>
        <v>Not Applicable</v>
      </c>
      <c r="D5" s="23" t="s">
        <v>578</v>
      </c>
      <c r="E5" s="22" t="s">
        <v>50</v>
      </c>
      <c r="F5" s="22" t="str">
        <f t="shared" si="0"/>
        <v>NA</v>
      </c>
      <c r="G5" s="22" t="str">
        <f t="shared" ref="G5:G35" si="2">IF(F5="not comply","Gaps to be stated here","")</f>
        <v/>
      </c>
      <c r="H5" s="22" t="str">
        <f t="shared" ref="H5:H35" si="3">IF(F5="not comply","action to be stated here","")</f>
        <v/>
      </c>
      <c r="I5" s="22" t="str">
        <f t="shared" ref="I5:I35" si="4">IF(F5="not comply","Name of PIC to be stated here","")</f>
        <v/>
      </c>
      <c r="J5" s="22" t="str">
        <f t="shared" ref="J5:J35" si="5">IF(F5="not comply","action date to be stated here","")</f>
        <v/>
      </c>
      <c r="K5" s="14"/>
    </row>
    <row r="6" spans="2:11" ht="43.5">
      <c r="B6" s="22" t="s">
        <v>592</v>
      </c>
      <c r="C6" s="23" t="str">
        <f t="shared" ref="C6:C35" si="6">C5</f>
        <v>Not Applicable</v>
      </c>
      <c r="D6" s="23" t="s">
        <v>578</v>
      </c>
      <c r="E6" s="22" t="s">
        <v>32</v>
      </c>
      <c r="F6" s="22" t="str">
        <f t="shared" si="0"/>
        <v>NA</v>
      </c>
      <c r="G6" s="22" t="str">
        <f t="shared" si="2"/>
        <v/>
      </c>
      <c r="H6" s="22" t="str">
        <f t="shared" si="3"/>
        <v/>
      </c>
      <c r="I6" s="22" t="str">
        <f t="shared" si="4"/>
        <v/>
      </c>
      <c r="J6" s="22" t="str">
        <f t="shared" si="5"/>
        <v/>
      </c>
      <c r="K6" s="14"/>
    </row>
    <row r="7" spans="2:11" ht="43.5">
      <c r="B7" s="22" t="s">
        <v>593</v>
      </c>
      <c r="C7" s="23" t="str">
        <f t="shared" si="6"/>
        <v>Not Applicable</v>
      </c>
      <c r="D7" s="23" t="s">
        <v>579</v>
      </c>
      <c r="E7" s="22" t="s">
        <v>36</v>
      </c>
      <c r="F7" s="22" t="str">
        <f t="shared" si="0"/>
        <v>NA</v>
      </c>
      <c r="G7" s="22" t="str">
        <f t="shared" si="2"/>
        <v/>
      </c>
      <c r="H7" s="22" t="str">
        <f t="shared" si="3"/>
        <v/>
      </c>
      <c r="I7" s="22" t="str">
        <f t="shared" si="4"/>
        <v/>
      </c>
      <c r="J7" s="22" t="str">
        <f t="shared" si="5"/>
        <v/>
      </c>
      <c r="K7" s="14"/>
    </row>
    <row r="8" spans="2:11" ht="29">
      <c r="B8" s="22" t="s">
        <v>594</v>
      </c>
      <c r="C8" s="23" t="str">
        <f t="shared" si="6"/>
        <v>Not Applicable</v>
      </c>
      <c r="D8" s="23" t="s">
        <v>578</v>
      </c>
      <c r="E8" s="22" t="s">
        <v>43</v>
      </c>
      <c r="F8" s="22" t="str">
        <f t="shared" si="0"/>
        <v>NA</v>
      </c>
      <c r="G8" s="22" t="str">
        <f t="shared" si="2"/>
        <v/>
      </c>
      <c r="H8" s="22" t="str">
        <f t="shared" si="3"/>
        <v/>
      </c>
      <c r="I8" s="22" t="str">
        <f t="shared" si="4"/>
        <v/>
      </c>
      <c r="J8" s="22" t="str">
        <f t="shared" si="5"/>
        <v/>
      </c>
      <c r="K8" s="14"/>
    </row>
    <row r="9" spans="2:11" ht="43.5">
      <c r="B9" s="22" t="s">
        <v>595</v>
      </c>
      <c r="C9" s="23" t="str">
        <f t="shared" si="6"/>
        <v>Not Applicable</v>
      </c>
      <c r="D9" s="23" t="s">
        <v>578</v>
      </c>
      <c r="E9" s="22" t="s">
        <v>44</v>
      </c>
      <c r="F9" s="22" t="str">
        <f t="shared" si="0"/>
        <v>NA</v>
      </c>
      <c r="G9" s="22" t="str">
        <f t="shared" si="2"/>
        <v/>
      </c>
      <c r="H9" s="22" t="str">
        <f t="shared" si="3"/>
        <v/>
      </c>
      <c r="I9" s="22" t="str">
        <f t="shared" si="4"/>
        <v/>
      </c>
      <c r="J9" s="22" t="str">
        <f t="shared" si="5"/>
        <v/>
      </c>
      <c r="K9" s="14"/>
    </row>
    <row r="10" spans="2:11" ht="43.5">
      <c r="B10" s="22" t="s">
        <v>596</v>
      </c>
      <c r="C10" s="23" t="str">
        <f t="shared" si="6"/>
        <v>Not Applicable</v>
      </c>
      <c r="D10" s="23" t="s">
        <v>578</v>
      </c>
      <c r="E10" s="22" t="s">
        <v>45</v>
      </c>
      <c r="F10" s="22" t="str">
        <f t="shared" si="0"/>
        <v>NA</v>
      </c>
      <c r="G10" s="22" t="str">
        <f t="shared" si="2"/>
        <v/>
      </c>
      <c r="H10" s="22" t="str">
        <f t="shared" si="3"/>
        <v/>
      </c>
      <c r="I10" s="22" t="str">
        <f t="shared" si="4"/>
        <v/>
      </c>
      <c r="J10" s="22" t="str">
        <f t="shared" si="5"/>
        <v/>
      </c>
      <c r="K10" s="14"/>
    </row>
    <row r="11" spans="2:11" ht="43.5">
      <c r="B11" s="22" t="s">
        <v>597</v>
      </c>
      <c r="C11" s="23" t="str">
        <f t="shared" si="6"/>
        <v>Not Applicable</v>
      </c>
      <c r="D11" s="23" t="s">
        <v>580</v>
      </c>
      <c r="E11" s="22" t="s">
        <v>55</v>
      </c>
      <c r="F11" s="22" t="str">
        <f t="shared" si="0"/>
        <v>NA</v>
      </c>
      <c r="G11" s="22" t="str">
        <f t="shared" si="2"/>
        <v/>
      </c>
      <c r="H11" s="22" t="str">
        <f t="shared" si="3"/>
        <v/>
      </c>
      <c r="I11" s="22" t="str">
        <f t="shared" si="4"/>
        <v/>
      </c>
      <c r="J11" s="22" t="str">
        <f t="shared" si="5"/>
        <v/>
      </c>
      <c r="K11" s="14"/>
    </row>
    <row r="12" spans="2:11" ht="29">
      <c r="B12" s="22" t="s">
        <v>598</v>
      </c>
      <c r="C12" s="23" t="str">
        <f t="shared" si="6"/>
        <v>Not Applicable</v>
      </c>
      <c r="D12" s="23" t="s">
        <v>578</v>
      </c>
      <c r="E12" s="22" t="s">
        <v>51</v>
      </c>
      <c r="F12" s="22" t="str">
        <f t="shared" si="0"/>
        <v>NA</v>
      </c>
      <c r="G12" s="22" t="str">
        <f t="shared" si="2"/>
        <v/>
      </c>
      <c r="H12" s="22" t="str">
        <f t="shared" si="3"/>
        <v/>
      </c>
      <c r="I12" s="22" t="str">
        <f t="shared" si="4"/>
        <v/>
      </c>
      <c r="J12" s="22" t="str">
        <f t="shared" si="5"/>
        <v/>
      </c>
      <c r="K12" s="14"/>
    </row>
    <row r="13" spans="2:11" ht="29">
      <c r="B13" s="22" t="s">
        <v>599</v>
      </c>
      <c r="C13" s="23" t="str">
        <f t="shared" si="6"/>
        <v>Not Applicable</v>
      </c>
      <c r="D13" s="23" t="s">
        <v>579</v>
      </c>
      <c r="E13" s="22" t="s">
        <v>36</v>
      </c>
      <c r="F13" s="22" t="str">
        <f t="shared" si="0"/>
        <v>NA</v>
      </c>
      <c r="G13" s="22" t="str">
        <f t="shared" si="2"/>
        <v/>
      </c>
      <c r="H13" s="22" t="str">
        <f t="shared" si="3"/>
        <v/>
      </c>
      <c r="I13" s="22" t="str">
        <f t="shared" si="4"/>
        <v/>
      </c>
      <c r="J13" s="22" t="str">
        <f t="shared" si="5"/>
        <v/>
      </c>
      <c r="K13" s="14"/>
    </row>
    <row r="14" spans="2:11" ht="43.5">
      <c r="B14" s="22" t="s">
        <v>600</v>
      </c>
      <c r="C14" s="23" t="str">
        <f t="shared" si="6"/>
        <v>Not Applicable</v>
      </c>
      <c r="D14" s="23" t="s">
        <v>579</v>
      </c>
      <c r="E14" s="22" t="s">
        <v>37</v>
      </c>
      <c r="F14" s="22" t="str">
        <f t="shared" si="0"/>
        <v>NA</v>
      </c>
      <c r="G14" s="22" t="str">
        <f t="shared" si="2"/>
        <v/>
      </c>
      <c r="H14" s="22" t="str">
        <f t="shared" si="3"/>
        <v/>
      </c>
      <c r="I14" s="22" t="str">
        <f t="shared" si="4"/>
        <v/>
      </c>
      <c r="J14" s="22" t="str">
        <f t="shared" si="5"/>
        <v/>
      </c>
      <c r="K14" s="14"/>
    </row>
    <row r="15" spans="2:11" ht="29">
      <c r="B15" s="22" t="s">
        <v>601</v>
      </c>
      <c r="C15" s="23" t="str">
        <f t="shared" si="6"/>
        <v>Not Applicable</v>
      </c>
      <c r="D15" s="23" t="s">
        <v>578</v>
      </c>
      <c r="E15" s="22" t="s">
        <v>44</v>
      </c>
      <c r="F15" s="22" t="str">
        <f t="shared" si="0"/>
        <v>NA</v>
      </c>
      <c r="G15" s="22" t="str">
        <f t="shared" si="2"/>
        <v/>
      </c>
      <c r="H15" s="22" t="str">
        <f t="shared" si="3"/>
        <v/>
      </c>
      <c r="I15" s="22" t="str">
        <f t="shared" si="4"/>
        <v/>
      </c>
      <c r="J15" s="22" t="str">
        <f t="shared" si="5"/>
        <v/>
      </c>
      <c r="K15" s="14"/>
    </row>
    <row r="16" spans="2:11" ht="29">
      <c r="B16" s="22" t="s">
        <v>602</v>
      </c>
      <c r="C16" s="23" t="str">
        <f t="shared" si="6"/>
        <v>Not Applicable</v>
      </c>
      <c r="D16" s="23" t="s">
        <v>578</v>
      </c>
      <c r="E16" s="22" t="s">
        <v>425</v>
      </c>
      <c r="F16" s="22" t="str">
        <f t="shared" si="0"/>
        <v>NA</v>
      </c>
      <c r="G16" s="22" t="str">
        <f t="shared" si="2"/>
        <v/>
      </c>
      <c r="H16" s="22" t="str">
        <f t="shared" si="3"/>
        <v/>
      </c>
      <c r="I16" s="22" t="str">
        <f t="shared" si="4"/>
        <v/>
      </c>
      <c r="J16" s="22" t="str">
        <f t="shared" si="5"/>
        <v/>
      </c>
      <c r="K16" s="14"/>
    </row>
    <row r="17" spans="2:11" ht="29">
      <c r="B17" s="22" t="s">
        <v>603</v>
      </c>
      <c r="C17" s="23" t="str">
        <f t="shared" si="6"/>
        <v>Not Applicable</v>
      </c>
      <c r="D17" s="23" t="s">
        <v>578</v>
      </c>
      <c r="E17" s="22" t="s">
        <v>32</v>
      </c>
      <c r="F17" s="22" t="str">
        <f t="shared" si="0"/>
        <v>NA</v>
      </c>
      <c r="G17" s="22" t="str">
        <f t="shared" si="2"/>
        <v/>
      </c>
      <c r="H17" s="22" t="str">
        <f t="shared" si="3"/>
        <v/>
      </c>
      <c r="I17" s="22" t="str">
        <f t="shared" si="4"/>
        <v/>
      </c>
      <c r="J17" s="22" t="str">
        <f t="shared" si="5"/>
        <v/>
      </c>
      <c r="K17" s="14"/>
    </row>
    <row r="18" spans="2:11" ht="43.5">
      <c r="B18" s="22" t="s">
        <v>604</v>
      </c>
      <c r="C18" s="23" t="str">
        <f t="shared" si="6"/>
        <v>Not Applicable</v>
      </c>
      <c r="D18" s="23" t="s">
        <v>578</v>
      </c>
      <c r="E18" s="22" t="s">
        <v>31</v>
      </c>
      <c r="F18" s="22" t="str">
        <f t="shared" si="0"/>
        <v>NA</v>
      </c>
      <c r="G18" s="22" t="str">
        <f t="shared" si="2"/>
        <v/>
      </c>
      <c r="H18" s="22" t="str">
        <f t="shared" si="3"/>
        <v/>
      </c>
      <c r="I18" s="22" t="str">
        <f t="shared" si="4"/>
        <v/>
      </c>
      <c r="J18" s="22" t="str">
        <f t="shared" si="5"/>
        <v/>
      </c>
      <c r="K18" s="14"/>
    </row>
    <row r="19" spans="2:11" ht="43.5">
      <c r="B19" s="22" t="s">
        <v>605</v>
      </c>
      <c r="C19" s="23" t="str">
        <f t="shared" si="6"/>
        <v>Not Applicable</v>
      </c>
      <c r="D19" s="23" t="s">
        <v>580</v>
      </c>
      <c r="E19" s="22" t="s">
        <v>43</v>
      </c>
      <c r="F19" s="22" t="str">
        <f t="shared" si="0"/>
        <v>NA</v>
      </c>
      <c r="G19" s="22" t="str">
        <f t="shared" si="2"/>
        <v/>
      </c>
      <c r="H19" s="22" t="str">
        <f t="shared" si="3"/>
        <v/>
      </c>
      <c r="I19" s="22" t="str">
        <f t="shared" si="4"/>
        <v/>
      </c>
      <c r="J19" s="22" t="str">
        <f t="shared" si="5"/>
        <v/>
      </c>
      <c r="K19" s="14"/>
    </row>
    <row r="20" spans="2:11" ht="43.5">
      <c r="B20" s="22" t="s">
        <v>606</v>
      </c>
      <c r="C20" s="23" t="str">
        <f t="shared" si="6"/>
        <v>Not Applicable</v>
      </c>
      <c r="D20" s="23" t="s">
        <v>580</v>
      </c>
      <c r="E20" s="22" t="s">
        <v>30</v>
      </c>
      <c r="F20" s="22" t="str">
        <f t="shared" si="0"/>
        <v>NA</v>
      </c>
      <c r="G20" s="22" t="str">
        <f t="shared" si="2"/>
        <v/>
      </c>
      <c r="H20" s="22" t="str">
        <f t="shared" si="3"/>
        <v/>
      </c>
      <c r="I20" s="22" t="str">
        <f t="shared" si="4"/>
        <v/>
      </c>
      <c r="J20" s="22" t="str">
        <f t="shared" si="5"/>
        <v/>
      </c>
      <c r="K20" s="14"/>
    </row>
    <row r="21" spans="2:11" ht="43.5">
      <c r="B21" s="22" t="s">
        <v>607</v>
      </c>
      <c r="C21" s="23" t="str">
        <f t="shared" si="6"/>
        <v>Not Applicable</v>
      </c>
      <c r="D21" s="23" t="s">
        <v>580</v>
      </c>
      <c r="E21" s="22" t="s">
        <v>30</v>
      </c>
      <c r="F21" s="22" t="str">
        <f t="shared" si="0"/>
        <v>NA</v>
      </c>
      <c r="G21" s="22" t="str">
        <f t="shared" si="2"/>
        <v/>
      </c>
      <c r="H21" s="22" t="str">
        <f t="shared" si="3"/>
        <v/>
      </c>
      <c r="I21" s="22" t="str">
        <f t="shared" si="4"/>
        <v/>
      </c>
      <c r="J21" s="22" t="str">
        <f t="shared" si="5"/>
        <v/>
      </c>
      <c r="K21" s="14"/>
    </row>
    <row r="22" spans="2:11" ht="43.5">
      <c r="B22" s="22" t="s">
        <v>608</v>
      </c>
      <c r="C22" s="23" t="str">
        <f t="shared" si="6"/>
        <v>Not Applicable</v>
      </c>
      <c r="D22" s="23" t="s">
        <v>580</v>
      </c>
      <c r="E22" s="22" t="s">
        <v>33</v>
      </c>
      <c r="F22" s="22" t="str">
        <f t="shared" si="0"/>
        <v>NA</v>
      </c>
      <c r="G22" s="22" t="str">
        <f t="shared" si="2"/>
        <v/>
      </c>
      <c r="H22" s="22" t="str">
        <f t="shared" si="3"/>
        <v/>
      </c>
      <c r="I22" s="22" t="str">
        <f t="shared" si="4"/>
        <v/>
      </c>
      <c r="J22" s="22" t="str">
        <f t="shared" si="5"/>
        <v/>
      </c>
      <c r="K22" s="14"/>
    </row>
    <row r="23" spans="2:11" ht="29">
      <c r="B23" s="22" t="s">
        <v>609</v>
      </c>
      <c r="C23" s="23" t="str">
        <f t="shared" si="6"/>
        <v>Not Applicable</v>
      </c>
      <c r="D23" s="23" t="s">
        <v>579</v>
      </c>
      <c r="E23" s="22" t="s">
        <v>37</v>
      </c>
      <c r="F23" s="22" t="str">
        <f t="shared" si="0"/>
        <v>NA</v>
      </c>
      <c r="G23" s="22" t="str">
        <f t="shared" si="2"/>
        <v/>
      </c>
      <c r="H23" s="22" t="str">
        <f t="shared" si="3"/>
        <v/>
      </c>
      <c r="I23" s="22" t="str">
        <f t="shared" si="4"/>
        <v/>
      </c>
      <c r="J23" s="22" t="str">
        <f t="shared" si="5"/>
        <v/>
      </c>
      <c r="K23" s="14"/>
    </row>
    <row r="24" spans="2:11" ht="29">
      <c r="B24" s="22" t="s">
        <v>610</v>
      </c>
      <c r="C24" s="23" t="str">
        <f t="shared" si="6"/>
        <v>Not Applicable</v>
      </c>
      <c r="D24" s="23" t="s">
        <v>579</v>
      </c>
      <c r="E24" s="22" t="s">
        <v>42</v>
      </c>
      <c r="F24" s="22" t="str">
        <f t="shared" si="0"/>
        <v>NA</v>
      </c>
      <c r="G24" s="22" t="str">
        <f t="shared" si="2"/>
        <v/>
      </c>
      <c r="H24" s="22" t="str">
        <f t="shared" si="3"/>
        <v/>
      </c>
      <c r="I24" s="22" t="str">
        <f t="shared" si="4"/>
        <v/>
      </c>
      <c r="J24" s="22" t="str">
        <f t="shared" si="5"/>
        <v/>
      </c>
      <c r="K24" s="14"/>
    </row>
    <row r="25" spans="2:11" ht="43.5">
      <c r="B25" s="22" t="s">
        <v>611</v>
      </c>
      <c r="C25" s="23" t="str">
        <f t="shared" si="6"/>
        <v>Not Applicable</v>
      </c>
      <c r="D25" s="23" t="s">
        <v>580</v>
      </c>
      <c r="E25" s="22" t="s">
        <v>37</v>
      </c>
      <c r="F25" s="22" t="str">
        <f t="shared" si="0"/>
        <v>NA</v>
      </c>
      <c r="G25" s="22" t="str">
        <f t="shared" si="2"/>
        <v/>
      </c>
      <c r="H25" s="22" t="str">
        <f t="shared" si="3"/>
        <v/>
      </c>
      <c r="I25" s="22" t="str">
        <f t="shared" si="4"/>
        <v/>
      </c>
      <c r="J25" s="22" t="str">
        <f t="shared" si="5"/>
        <v/>
      </c>
      <c r="K25" s="14"/>
    </row>
    <row r="26" spans="2:11" ht="29">
      <c r="B26" s="22" t="s">
        <v>612</v>
      </c>
      <c r="C26" s="23" t="str">
        <f t="shared" si="6"/>
        <v>Not Applicable</v>
      </c>
      <c r="D26" s="23" t="s">
        <v>579</v>
      </c>
      <c r="E26" s="22" t="s">
        <v>54</v>
      </c>
      <c r="F26" s="22" t="str">
        <f t="shared" si="0"/>
        <v>NA</v>
      </c>
      <c r="G26" s="22" t="str">
        <f t="shared" si="2"/>
        <v/>
      </c>
      <c r="H26" s="22" t="str">
        <f t="shared" si="3"/>
        <v/>
      </c>
      <c r="I26" s="22" t="str">
        <f t="shared" si="4"/>
        <v/>
      </c>
      <c r="J26" s="22" t="str">
        <f t="shared" si="5"/>
        <v/>
      </c>
      <c r="K26" s="14"/>
    </row>
    <row r="27" spans="2:11" ht="43.5">
      <c r="B27" s="22" t="s">
        <v>613</v>
      </c>
      <c r="C27" s="23" t="str">
        <f t="shared" si="6"/>
        <v>Not Applicable</v>
      </c>
      <c r="D27" s="23" t="s">
        <v>580</v>
      </c>
      <c r="E27" s="22" t="s">
        <v>38</v>
      </c>
      <c r="F27" s="22" t="str">
        <f t="shared" si="0"/>
        <v>NA</v>
      </c>
      <c r="G27" s="22" t="str">
        <f t="shared" si="2"/>
        <v/>
      </c>
      <c r="H27" s="22" t="str">
        <f t="shared" si="3"/>
        <v/>
      </c>
      <c r="I27" s="22" t="str">
        <f t="shared" si="4"/>
        <v/>
      </c>
      <c r="J27" s="22" t="str">
        <f t="shared" si="5"/>
        <v/>
      </c>
      <c r="K27" s="14"/>
    </row>
    <row r="28" spans="2:11" ht="43.5">
      <c r="B28" s="22" t="s">
        <v>614</v>
      </c>
      <c r="C28" s="23" t="str">
        <f t="shared" si="6"/>
        <v>Not Applicable</v>
      </c>
      <c r="D28" s="23" t="s">
        <v>579</v>
      </c>
      <c r="E28" s="22" t="s">
        <v>36</v>
      </c>
      <c r="F28" s="22" t="str">
        <f t="shared" si="0"/>
        <v>NA</v>
      </c>
      <c r="G28" s="22" t="str">
        <f t="shared" si="2"/>
        <v/>
      </c>
      <c r="H28" s="22" t="str">
        <f t="shared" si="3"/>
        <v/>
      </c>
      <c r="I28" s="22" t="str">
        <f t="shared" si="4"/>
        <v/>
      </c>
      <c r="J28" s="22" t="str">
        <f t="shared" si="5"/>
        <v/>
      </c>
      <c r="K28" s="14"/>
    </row>
    <row r="29" spans="2:11" ht="43.5">
      <c r="B29" s="22" t="s">
        <v>615</v>
      </c>
      <c r="C29" s="23" t="str">
        <f t="shared" si="6"/>
        <v>Not Applicable</v>
      </c>
      <c r="D29" s="23" t="s">
        <v>579</v>
      </c>
      <c r="E29" s="22" t="s">
        <v>42</v>
      </c>
      <c r="F29" s="22" t="str">
        <f t="shared" si="0"/>
        <v>NA</v>
      </c>
      <c r="G29" s="22" t="str">
        <f t="shared" si="2"/>
        <v/>
      </c>
      <c r="H29" s="22" t="str">
        <f t="shared" si="3"/>
        <v/>
      </c>
      <c r="I29" s="22" t="str">
        <f t="shared" si="4"/>
        <v/>
      </c>
      <c r="J29" s="22" t="str">
        <f t="shared" si="5"/>
        <v/>
      </c>
      <c r="K29" s="14"/>
    </row>
    <row r="30" spans="2:11" ht="43.5">
      <c r="B30" s="22" t="s">
        <v>616</v>
      </c>
      <c r="C30" s="23" t="str">
        <f t="shared" si="6"/>
        <v>Not Applicable</v>
      </c>
      <c r="D30" s="23" t="s">
        <v>578</v>
      </c>
      <c r="E30" s="22" t="s">
        <v>32</v>
      </c>
      <c r="F30" s="22" t="str">
        <f t="shared" si="0"/>
        <v>NA</v>
      </c>
      <c r="G30" s="22" t="str">
        <f t="shared" si="2"/>
        <v/>
      </c>
      <c r="H30" s="22" t="str">
        <f t="shared" si="3"/>
        <v/>
      </c>
      <c r="I30" s="22" t="str">
        <f t="shared" si="4"/>
        <v/>
      </c>
      <c r="J30" s="22" t="str">
        <f t="shared" si="5"/>
        <v/>
      </c>
      <c r="K30" s="14"/>
    </row>
    <row r="31" spans="2:11" ht="29">
      <c r="B31" s="22" t="s">
        <v>617</v>
      </c>
      <c r="C31" s="23" t="str">
        <f t="shared" si="6"/>
        <v>Not Applicable</v>
      </c>
      <c r="D31" s="23" t="s">
        <v>578</v>
      </c>
      <c r="E31" s="22" t="s">
        <v>32</v>
      </c>
      <c r="F31" s="22" t="str">
        <f t="shared" si="0"/>
        <v>NA</v>
      </c>
      <c r="G31" s="22" t="str">
        <f t="shared" si="2"/>
        <v/>
      </c>
      <c r="H31" s="22" t="str">
        <f t="shared" si="3"/>
        <v/>
      </c>
      <c r="I31" s="22" t="str">
        <f t="shared" si="4"/>
        <v/>
      </c>
      <c r="J31" s="22" t="str">
        <f t="shared" si="5"/>
        <v/>
      </c>
      <c r="K31" s="14"/>
    </row>
    <row r="32" spans="2:11" ht="43.5">
      <c r="B32" s="22" t="s">
        <v>618</v>
      </c>
      <c r="C32" s="23" t="str">
        <f t="shared" si="6"/>
        <v>Not Applicable</v>
      </c>
      <c r="D32" s="23" t="s">
        <v>580</v>
      </c>
      <c r="E32" s="22" t="s">
        <v>38</v>
      </c>
      <c r="F32" s="22" t="str">
        <f t="shared" si="0"/>
        <v>NA</v>
      </c>
      <c r="G32" s="22" t="str">
        <f t="shared" si="2"/>
        <v/>
      </c>
      <c r="H32" s="22" t="str">
        <f t="shared" si="3"/>
        <v/>
      </c>
      <c r="I32" s="22" t="str">
        <f t="shared" si="4"/>
        <v/>
      </c>
      <c r="J32" s="22" t="str">
        <f t="shared" si="5"/>
        <v/>
      </c>
      <c r="K32" s="14"/>
    </row>
    <row r="33" spans="2:11" ht="43.5">
      <c r="B33" s="22" t="s">
        <v>619</v>
      </c>
      <c r="C33" s="23" t="str">
        <f t="shared" si="6"/>
        <v>Not Applicable</v>
      </c>
      <c r="D33" s="23" t="s">
        <v>580</v>
      </c>
      <c r="E33" s="22" t="s">
        <v>32</v>
      </c>
      <c r="F33" s="22" t="str">
        <f t="shared" si="0"/>
        <v>NA</v>
      </c>
      <c r="G33" s="22" t="str">
        <f t="shared" si="2"/>
        <v/>
      </c>
      <c r="H33" s="22" t="str">
        <f t="shared" si="3"/>
        <v/>
      </c>
      <c r="I33" s="22" t="str">
        <f t="shared" si="4"/>
        <v/>
      </c>
      <c r="J33" s="22" t="str">
        <f t="shared" si="5"/>
        <v/>
      </c>
      <c r="K33" s="14"/>
    </row>
    <row r="34" spans="2:11" ht="43.5">
      <c r="B34" s="22" t="s">
        <v>620</v>
      </c>
      <c r="C34" s="23" t="str">
        <f t="shared" si="6"/>
        <v>Not Applicable</v>
      </c>
      <c r="D34" s="23" t="s">
        <v>578</v>
      </c>
      <c r="E34" s="22" t="s">
        <v>32</v>
      </c>
      <c r="F34" s="22" t="str">
        <f t="shared" si="0"/>
        <v>NA</v>
      </c>
      <c r="G34" s="22" t="str">
        <f t="shared" si="2"/>
        <v/>
      </c>
      <c r="H34" s="22" t="str">
        <f t="shared" si="3"/>
        <v/>
      </c>
      <c r="I34" s="22" t="str">
        <f t="shared" si="4"/>
        <v/>
      </c>
      <c r="J34" s="22" t="str">
        <f t="shared" si="5"/>
        <v/>
      </c>
      <c r="K34" s="14"/>
    </row>
    <row r="35" spans="2:11" ht="43.5">
      <c r="B35" s="22" t="s">
        <v>621</v>
      </c>
      <c r="C35" s="23" t="str">
        <f t="shared" si="6"/>
        <v>Not Applicable</v>
      </c>
      <c r="D35" s="23" t="s">
        <v>580</v>
      </c>
      <c r="E35" s="22" t="s">
        <v>43</v>
      </c>
      <c r="F35" s="22" t="str">
        <f t="shared" si="0"/>
        <v>NA</v>
      </c>
      <c r="G35" s="22" t="str">
        <f t="shared" si="2"/>
        <v/>
      </c>
      <c r="H35" s="22" t="str">
        <f t="shared" si="3"/>
        <v/>
      </c>
      <c r="I35" s="22" t="str">
        <f t="shared" si="4"/>
        <v/>
      </c>
      <c r="J35" s="22" t="str">
        <f t="shared" si="5"/>
        <v/>
      </c>
      <c r="K35" s="14"/>
    </row>
  </sheetData>
  <conditionalFormatting sqref="C1:C1048576">
    <cfRule type="containsText" dxfId="252" priority="11" operator="containsText" text="Not Applicable">
      <formula>NOT(ISERROR(SEARCH("Not Applicable",C1)))</formula>
    </cfRule>
    <cfRule type="containsText" dxfId="251" priority="12" operator="containsText" text="Applicable">
      <formula>NOT(ISERROR(SEARCH("Applicable",C1)))</formula>
    </cfRule>
  </conditionalFormatting>
  <conditionalFormatting sqref="F4:F50">
    <cfRule type="containsText" dxfId="250" priority="7" operator="containsText" text="Not">
      <formula>NOT(ISERROR(SEARCH("Not",F4)))</formula>
    </cfRule>
    <cfRule type="containsText" dxfId="249" priority="8" operator="containsText" text="Comply">
      <formula>NOT(ISERROR(SEARCH("Comply",F4)))</formula>
    </cfRule>
  </conditionalFormatting>
  <conditionalFormatting sqref="G4:G35">
    <cfRule type="containsText" dxfId="248" priority="4" operator="containsText" text="Gaps to be stated here">
      <formula>NOT(ISERROR(SEARCH("Gaps to be stated here",G4)))</formula>
    </cfRule>
  </conditionalFormatting>
  <conditionalFormatting sqref="H4:H35">
    <cfRule type="containsText" dxfId="247" priority="5" operator="containsText" text="action to be stated here">
      <formula>NOT(ISERROR(SEARCH("action to be stated here",H4)))</formula>
    </cfRule>
  </conditionalFormatting>
  <conditionalFormatting sqref="I4:I35">
    <cfRule type="containsText" dxfId="246" priority="3" operator="containsText" text="Name of PIC to be stated here">
      <formula>NOT(ISERROR(SEARCH("Name of PIC to be stated here",I4)))</formula>
    </cfRule>
  </conditionalFormatting>
  <conditionalFormatting sqref="J4:J35">
    <cfRule type="containsText" dxfId="245" priority="2" operator="containsText" text="action date to be stated here">
      <formula>NOT(ISERROR(SEARCH("action date to be stated here",J4)))</formula>
    </cfRule>
  </conditionalFormatting>
  <conditionalFormatting sqref="K3">
    <cfRule type="expression" dxfId="244" priority="1">
      <formula>$K$2&gt;0</formula>
    </cfRule>
  </conditionalFormatting>
  <conditionalFormatting sqref="K4:K35">
    <cfRule type="expression" dxfId="243"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39B54DA8-E061-45A1-A622-DDBAECF862DD}">
          <x14:formula1>
            <xm:f>'back-data'!$B$4:$B$6</xm:f>
          </x14:formula1>
          <xm:sqref>D4:D35</xm:sqref>
        </x14:dataValidation>
        <x14:dataValidation type="list" allowBlank="1" showInputMessage="1" showErrorMessage="1" xr:uid="{15D84064-BBAE-4835-8582-B4424CFA5927}">
          <x14:formula1>
            <xm:f>'back-data'!$B$13:$B$15</xm:f>
          </x14:formula1>
          <xm:sqref>F4:F35</xm:sqref>
        </x14:dataValidation>
        <x14:dataValidation type="list" allowBlank="1" showInputMessage="1" showErrorMessage="1" xr:uid="{9E8A8636-C35A-444A-BC99-91925BB4C688}">
          <x14:formula1>
            <xm:f>Action_Tracker_Data!$D$4:$D$13</xm:f>
          </x14:formula1>
          <xm:sqref>K4:K35</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02063-8D65-4CC1-8008-5B0E6574ACDE}">
  <dimension ref="G1:BA37"/>
  <sheetViews>
    <sheetView zoomScaleNormal="100" workbookViewId="0">
      <selection activeCell="E7" sqref="E7"/>
    </sheetView>
  </sheetViews>
  <sheetFormatPr defaultRowHeight="14.5"/>
  <cols>
    <col min="1" max="1" width="8.7265625" customWidth="1"/>
    <col min="7" max="7" width="22.90625" customWidth="1"/>
    <col min="8" max="8" width="6.36328125" customWidth="1"/>
    <col min="9" max="53" width="4.81640625" style="48" customWidth="1"/>
    <col min="54" max="57" width="4.81640625" customWidth="1"/>
  </cols>
  <sheetData>
    <row r="1" spans="7:53">
      <c r="AM1" s="47">
        <f>COUNTIF(AM3:AM37,"X")</f>
        <v>1</v>
      </c>
      <c r="AN1" s="47">
        <f t="shared" ref="AN1:BA1" si="0">COUNTIF(AN3:AN37,"X")</f>
        <v>1</v>
      </c>
      <c r="AO1" s="47">
        <f t="shared" si="0"/>
        <v>1</v>
      </c>
      <c r="AP1" s="47">
        <f t="shared" si="0"/>
        <v>1</v>
      </c>
      <c r="AQ1" s="47">
        <f t="shared" si="0"/>
        <v>2</v>
      </c>
      <c r="AR1" s="47">
        <f t="shared" si="0"/>
        <v>10</v>
      </c>
      <c r="AS1" s="47">
        <f t="shared" si="0"/>
        <v>3</v>
      </c>
      <c r="AT1" s="47">
        <f t="shared" si="0"/>
        <v>1</v>
      </c>
      <c r="AU1" s="47">
        <f t="shared" si="0"/>
        <v>2</v>
      </c>
      <c r="AV1" s="47">
        <f t="shared" si="0"/>
        <v>1</v>
      </c>
      <c r="AW1" s="47">
        <f t="shared" si="0"/>
        <v>1</v>
      </c>
      <c r="AX1" s="47">
        <f t="shared" si="0"/>
        <v>2</v>
      </c>
      <c r="AY1" s="47">
        <f t="shared" si="0"/>
        <v>1</v>
      </c>
      <c r="AZ1" s="47">
        <f t="shared" si="0"/>
        <v>0</v>
      </c>
      <c r="BA1" s="47">
        <f t="shared" si="0"/>
        <v>0</v>
      </c>
    </row>
    <row r="2" spans="7:53">
      <c r="G2" t="s">
        <v>1221</v>
      </c>
      <c r="I2" s="47" t="s">
        <v>1247</v>
      </c>
      <c r="J2" s="47" t="s">
        <v>1248</v>
      </c>
      <c r="K2" s="47" t="s">
        <v>1249</v>
      </c>
      <c r="L2" s="47" t="s">
        <v>1250</v>
      </c>
      <c r="M2" s="47" t="s">
        <v>1251</v>
      </c>
      <c r="N2" s="47" t="s">
        <v>1252</v>
      </c>
      <c r="O2" s="47" t="s">
        <v>1253</v>
      </c>
      <c r="P2" s="47" t="s">
        <v>1254</v>
      </c>
      <c r="Q2" s="47" t="s">
        <v>1255</v>
      </c>
      <c r="R2" s="47" t="s">
        <v>1256</v>
      </c>
      <c r="S2" s="47" t="s">
        <v>1257</v>
      </c>
      <c r="T2" s="47" t="s">
        <v>1258</v>
      </c>
      <c r="U2" s="47" t="s">
        <v>1259</v>
      </c>
      <c r="V2" s="47" t="s">
        <v>1260</v>
      </c>
      <c r="W2" s="47" t="s">
        <v>1261</v>
      </c>
      <c r="X2" s="47" t="s">
        <v>1262</v>
      </c>
      <c r="Y2" s="47" t="s">
        <v>1263</v>
      </c>
      <c r="Z2" s="47" t="s">
        <v>1264</v>
      </c>
      <c r="AA2" s="47" t="s">
        <v>1265</v>
      </c>
      <c r="AB2" s="47" t="s">
        <v>1266</v>
      </c>
      <c r="AC2" s="47" t="s">
        <v>1267</v>
      </c>
      <c r="AD2" s="47" t="s">
        <v>1268</v>
      </c>
      <c r="AE2" s="47" t="s">
        <v>1269</v>
      </c>
      <c r="AF2" s="47" t="s">
        <v>1270</v>
      </c>
      <c r="AG2" s="47" t="s">
        <v>1271</v>
      </c>
      <c r="AH2" s="47" t="s">
        <v>1272</v>
      </c>
      <c r="AI2" s="47" t="s">
        <v>1273</v>
      </c>
      <c r="AJ2" s="47" t="s">
        <v>1274</v>
      </c>
      <c r="AK2" s="47" t="s">
        <v>1275</v>
      </c>
      <c r="AL2" s="47" t="s">
        <v>1276</v>
      </c>
      <c r="AM2" s="47" t="s">
        <v>1277</v>
      </c>
      <c r="AN2" s="47" t="s">
        <v>1278</v>
      </c>
      <c r="AO2" s="47" t="s">
        <v>1279</v>
      </c>
      <c r="AP2" s="47" t="s">
        <v>1280</v>
      </c>
      <c r="AQ2" s="47" t="s">
        <v>1281</v>
      </c>
      <c r="AR2" s="47" t="s">
        <v>1282</v>
      </c>
      <c r="AS2" s="47" t="s">
        <v>1283</v>
      </c>
      <c r="AT2" s="47" t="s">
        <v>1284</v>
      </c>
      <c r="AU2" s="47" t="s">
        <v>1285</v>
      </c>
      <c r="AV2" s="47" t="s">
        <v>1286</v>
      </c>
      <c r="AW2" s="47" t="s">
        <v>1287</v>
      </c>
      <c r="AX2" s="47" t="s">
        <v>1288</v>
      </c>
      <c r="AY2" s="47" t="s">
        <v>1289</v>
      </c>
      <c r="AZ2" s="47" t="s">
        <v>1290</v>
      </c>
      <c r="BA2" s="47" t="s">
        <v>1291</v>
      </c>
    </row>
    <row r="3" spans="7:53">
      <c r="G3" t="s">
        <v>1222</v>
      </c>
      <c r="H3" s="49">
        <f>COUNTIF(I3:BP3,"X")</f>
        <v>16</v>
      </c>
      <c r="I3" s="48" t="s">
        <v>1292</v>
      </c>
      <c r="J3" s="48" t="s">
        <v>1292</v>
      </c>
      <c r="K3" s="48" t="s">
        <v>1292</v>
      </c>
      <c r="N3" s="48" t="s">
        <v>1292</v>
      </c>
      <c r="O3" s="48" t="s">
        <v>1292</v>
      </c>
      <c r="Q3" s="48" t="s">
        <v>1292</v>
      </c>
      <c r="R3" s="48" t="s">
        <v>1292</v>
      </c>
      <c r="T3" s="48" t="s">
        <v>1292</v>
      </c>
      <c r="V3" s="48" t="s">
        <v>1292</v>
      </c>
      <c r="W3" s="48" t="s">
        <v>1292</v>
      </c>
      <c r="X3" s="48" t="s">
        <v>1292</v>
      </c>
      <c r="AK3" s="48" t="s">
        <v>1294</v>
      </c>
      <c r="AN3" s="48" t="s">
        <v>1292</v>
      </c>
      <c r="AO3" s="48" t="s">
        <v>1292</v>
      </c>
      <c r="AP3" s="48" t="s">
        <v>1292</v>
      </c>
      <c r="AU3" s="48" t="s">
        <v>1292</v>
      </c>
    </row>
    <row r="4" spans="7:53">
      <c r="G4" t="s">
        <v>1223</v>
      </c>
      <c r="H4" s="49">
        <f>COUNTIF(I4:BP4,"X")</f>
        <v>1</v>
      </c>
      <c r="M4" s="48" t="s">
        <v>1292</v>
      </c>
    </row>
    <row r="5" spans="7:53">
      <c r="G5" t="s">
        <v>1224</v>
      </c>
      <c r="H5" s="49">
        <f t="shared" ref="H5:H29" si="1">COUNTIF(I5:BP5,"X")</f>
        <v>2</v>
      </c>
      <c r="AS5" s="48" t="s">
        <v>1292</v>
      </c>
      <c r="AT5" s="48" t="s">
        <v>1292</v>
      </c>
    </row>
    <row r="6" spans="7:53">
      <c r="G6" t="s">
        <v>1225</v>
      </c>
      <c r="H6" s="49">
        <f t="shared" si="1"/>
        <v>1</v>
      </c>
      <c r="AA6" s="48" t="s">
        <v>1292</v>
      </c>
    </row>
    <row r="7" spans="7:53">
      <c r="G7" t="s">
        <v>1226</v>
      </c>
      <c r="H7" s="49">
        <f t="shared" si="1"/>
        <v>1</v>
      </c>
      <c r="AA7" s="48" t="s">
        <v>1292</v>
      </c>
    </row>
    <row r="8" spans="7:53">
      <c r="G8" t="s">
        <v>1227</v>
      </c>
      <c r="H8" s="49">
        <f t="shared" si="1"/>
        <v>1</v>
      </c>
      <c r="AR8" s="48" t="s">
        <v>1292</v>
      </c>
    </row>
    <row r="9" spans="7:53">
      <c r="G9" t="s">
        <v>1228</v>
      </c>
      <c r="H9" s="49">
        <f t="shared" si="1"/>
        <v>1</v>
      </c>
      <c r="AR9" s="48" t="s">
        <v>1292</v>
      </c>
    </row>
    <row r="10" spans="7:53">
      <c r="G10" t="s">
        <v>1229</v>
      </c>
      <c r="H10" s="49">
        <f t="shared" si="1"/>
        <v>1</v>
      </c>
      <c r="AR10" s="48" t="s">
        <v>1292</v>
      </c>
    </row>
    <row r="11" spans="7:53">
      <c r="G11" t="s">
        <v>1230</v>
      </c>
      <c r="H11" s="49">
        <f t="shared" si="1"/>
        <v>1</v>
      </c>
      <c r="AJ11" s="48" t="s">
        <v>1294</v>
      </c>
    </row>
    <row r="12" spans="7:53">
      <c r="G12" t="s">
        <v>1231</v>
      </c>
      <c r="H12" s="49">
        <f t="shared" si="1"/>
        <v>0</v>
      </c>
    </row>
    <row r="13" spans="7:53">
      <c r="G13" t="s">
        <v>1232</v>
      </c>
      <c r="H13" s="49">
        <f t="shared" si="1"/>
        <v>4</v>
      </c>
      <c r="Y13" s="48" t="s">
        <v>1292</v>
      </c>
      <c r="Z13" s="48" t="s">
        <v>1292</v>
      </c>
      <c r="AJ13" s="48" t="s">
        <v>1294</v>
      </c>
      <c r="AM13" s="48" t="s">
        <v>1292</v>
      </c>
    </row>
    <row r="14" spans="7:53">
      <c r="G14" t="s">
        <v>1233</v>
      </c>
      <c r="H14" s="49">
        <f t="shared" si="1"/>
        <v>3</v>
      </c>
      <c r="P14" s="48" t="s">
        <v>1292</v>
      </c>
      <c r="AI14" s="48" t="s">
        <v>1294</v>
      </c>
      <c r="AL14" s="48" t="s">
        <v>1292</v>
      </c>
    </row>
    <row r="15" spans="7:53">
      <c r="G15" t="s">
        <v>1234</v>
      </c>
      <c r="H15" s="49">
        <f t="shared" si="1"/>
        <v>1</v>
      </c>
      <c r="I15" s="48" t="s">
        <v>1292</v>
      </c>
    </row>
    <row r="16" spans="7:53" s="53" customFormat="1">
      <c r="G16" s="53" t="s">
        <v>1235</v>
      </c>
      <c r="H16" s="54">
        <f t="shared" si="1"/>
        <v>4</v>
      </c>
      <c r="I16" s="55"/>
      <c r="J16" s="55"/>
      <c r="K16" s="55"/>
      <c r="L16" s="55"/>
      <c r="M16" s="55"/>
      <c r="N16" s="55"/>
      <c r="O16" s="55"/>
      <c r="P16" s="55"/>
      <c r="Q16" s="55"/>
      <c r="R16" s="55"/>
      <c r="S16" s="55" t="s">
        <v>1292</v>
      </c>
      <c r="T16" s="55"/>
      <c r="U16" s="55" t="s">
        <v>1292</v>
      </c>
      <c r="V16" s="55"/>
      <c r="W16" s="55"/>
      <c r="X16" s="55"/>
      <c r="Y16" s="55"/>
      <c r="Z16" s="55"/>
      <c r="AA16" s="55"/>
      <c r="AB16" s="55"/>
      <c r="AC16" s="55" t="s">
        <v>1292</v>
      </c>
      <c r="AD16" s="55"/>
      <c r="AE16" s="55"/>
      <c r="AF16" s="55"/>
      <c r="AG16" s="55"/>
      <c r="AH16" s="55"/>
      <c r="AI16" s="55"/>
      <c r="AJ16" s="55"/>
      <c r="AK16" s="55"/>
      <c r="AL16" s="55"/>
      <c r="AM16" s="55"/>
      <c r="AN16" s="55"/>
      <c r="AO16" s="55"/>
      <c r="AP16" s="55"/>
      <c r="AQ16" s="55"/>
      <c r="AR16" s="55" t="s">
        <v>1292</v>
      </c>
      <c r="AS16" s="55"/>
      <c r="AT16" s="55"/>
      <c r="AU16" s="55"/>
      <c r="AV16" s="55"/>
      <c r="AW16" s="55"/>
      <c r="AX16" s="55"/>
      <c r="AY16" s="55"/>
      <c r="AZ16" s="55"/>
      <c r="BA16" s="55"/>
    </row>
    <row r="17" spans="7:51">
      <c r="G17" t="s">
        <v>1236</v>
      </c>
      <c r="H17" s="49">
        <f t="shared" si="1"/>
        <v>1</v>
      </c>
      <c r="M17" s="48" t="s">
        <v>1292</v>
      </c>
    </row>
    <row r="18" spans="7:51">
      <c r="G18" t="s">
        <v>1295</v>
      </c>
      <c r="H18" s="49">
        <f t="shared" si="1"/>
        <v>3</v>
      </c>
      <c r="AV18" s="48" t="s">
        <v>1292</v>
      </c>
      <c r="AW18" s="48" t="s">
        <v>1292</v>
      </c>
      <c r="AX18" s="48" t="s">
        <v>1292</v>
      </c>
    </row>
    <row r="19" spans="7:51">
      <c r="G19" t="s">
        <v>1237</v>
      </c>
      <c r="H19" s="49">
        <f t="shared" si="1"/>
        <v>2</v>
      </c>
      <c r="AE19" s="48" t="s">
        <v>1294</v>
      </c>
      <c r="AR19" s="48" t="s">
        <v>1292</v>
      </c>
    </row>
    <row r="20" spans="7:51">
      <c r="G20" t="s">
        <v>1238</v>
      </c>
      <c r="H20" s="49">
        <f t="shared" si="1"/>
        <v>1</v>
      </c>
      <c r="AQ20" s="48" t="s">
        <v>1292</v>
      </c>
    </row>
    <row r="21" spans="7:51">
      <c r="G21" t="s">
        <v>1239</v>
      </c>
      <c r="H21" s="49">
        <f t="shared" si="1"/>
        <v>1</v>
      </c>
      <c r="AQ21" s="48" t="s">
        <v>1292</v>
      </c>
    </row>
    <row r="22" spans="7:51">
      <c r="G22" t="s">
        <v>1240</v>
      </c>
      <c r="H22" s="49">
        <f t="shared" si="1"/>
        <v>1</v>
      </c>
      <c r="AF22" s="48" t="s">
        <v>1294</v>
      </c>
    </row>
    <row r="23" spans="7:51">
      <c r="G23" t="s">
        <v>1241</v>
      </c>
      <c r="H23" s="49">
        <f t="shared" si="1"/>
        <v>2</v>
      </c>
      <c r="AG23" s="48" t="s">
        <v>1294</v>
      </c>
      <c r="AR23" s="48" t="s">
        <v>1292</v>
      </c>
    </row>
    <row r="24" spans="7:51">
      <c r="G24" t="s">
        <v>1242</v>
      </c>
      <c r="H24" s="49">
        <f t="shared" si="1"/>
        <v>4</v>
      </c>
      <c r="AR24" s="48" t="s">
        <v>1292</v>
      </c>
      <c r="AS24" s="48" t="s">
        <v>1292</v>
      </c>
      <c r="AU24" s="48" t="s">
        <v>1292</v>
      </c>
      <c r="AX24" s="48" t="s">
        <v>1292</v>
      </c>
    </row>
    <row r="25" spans="7:51">
      <c r="G25" t="s">
        <v>1243</v>
      </c>
      <c r="H25" s="49">
        <f t="shared" si="1"/>
        <v>1</v>
      </c>
      <c r="AS25" s="48" t="s">
        <v>1292</v>
      </c>
    </row>
    <row r="26" spans="7:51">
      <c r="G26" t="s">
        <v>1244</v>
      </c>
      <c r="H26" s="49">
        <f t="shared" si="1"/>
        <v>3</v>
      </c>
      <c r="AB26" s="48" t="s">
        <v>1292</v>
      </c>
      <c r="AH26" s="48" t="s">
        <v>1294</v>
      </c>
      <c r="AR26" s="48" t="s">
        <v>1292</v>
      </c>
    </row>
    <row r="27" spans="7:51">
      <c r="G27" t="s">
        <v>1245</v>
      </c>
      <c r="H27" s="49">
        <f t="shared" si="1"/>
        <v>1</v>
      </c>
      <c r="AY27" s="48" t="s">
        <v>1292</v>
      </c>
    </row>
    <row r="28" spans="7:51">
      <c r="G28" t="s">
        <v>1246</v>
      </c>
      <c r="H28" s="49">
        <f t="shared" si="1"/>
        <v>1</v>
      </c>
      <c r="AR28" s="48" t="s">
        <v>1292</v>
      </c>
    </row>
    <row r="29" spans="7:51">
      <c r="G29" t="s">
        <v>1293</v>
      </c>
      <c r="H29" s="49">
        <f t="shared" si="1"/>
        <v>2</v>
      </c>
      <c r="AD29" s="48" t="s">
        <v>1292</v>
      </c>
      <c r="AR29" s="48" t="s">
        <v>1292</v>
      </c>
    </row>
    <row r="30" spans="7:51">
      <c r="H30" s="50"/>
    </row>
    <row r="31" spans="7:51">
      <c r="H31" s="50"/>
    </row>
    <row r="32" spans="7:51">
      <c r="H32" s="50"/>
    </row>
    <row r="33" spans="8:8">
      <c r="H33" s="50"/>
    </row>
    <row r="34" spans="8:8">
      <c r="H34" s="50"/>
    </row>
    <row r="35" spans="8:8">
      <c r="H35" s="50"/>
    </row>
    <row r="36" spans="8:8">
      <c r="H36" s="50"/>
    </row>
    <row r="37" spans="8:8">
      <c r="H37" s="50"/>
    </row>
  </sheetData>
  <phoneticPr fontId="11" type="noConversion"/>
  <conditionalFormatting sqref="I3:BD28">
    <cfRule type="containsText" dxfId="242" priority="3" operator="containsText" text="X">
      <formula>NOT(ISERROR(SEARCH("X",I3)))</formula>
    </cfRule>
  </conditionalFormatting>
  <conditionalFormatting sqref="AD29">
    <cfRule type="containsText" dxfId="241" priority="2" operator="containsText" text="X">
      <formula>NOT(ISERROR(SEARCH("X",AD29)))</formula>
    </cfRule>
  </conditionalFormatting>
  <conditionalFormatting sqref="AR29">
    <cfRule type="containsText" dxfId="240" priority="1" operator="containsText" text="X">
      <formula>NOT(ISERROR(SEARCH("X",AR29)))</formula>
    </cfRule>
  </conditionalFormatting>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80391-1E07-4927-9613-F715F7692A60}">
  <sheetPr>
    <tabColor rgb="FF024DC2"/>
  </sheetPr>
  <dimension ref="B1:K20"/>
  <sheetViews>
    <sheetView showGridLines="0" showRowColHeaders="0" topLeftCell="D16" zoomScaleNormal="100" workbookViewId="0">
      <selection activeCell="H32" sqref="H32"/>
    </sheetView>
  </sheetViews>
  <sheetFormatPr defaultRowHeight="14.5"/>
  <cols>
    <col min="1" max="1" width="27.81640625" customWidth="1"/>
    <col min="2" max="2" width="40.90625" style="8" customWidth="1"/>
    <col min="3" max="3" width="15" style="8" customWidth="1"/>
    <col min="4" max="5" width="26.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customWidth="1"/>
  </cols>
  <sheetData>
    <row r="1" spans="2:11" ht="16">
      <c r="B1" s="10" t="s">
        <v>1014</v>
      </c>
      <c r="F1" s="15"/>
    </row>
    <row r="2" spans="2:11">
      <c r="F2" s="15"/>
      <c r="K2" s="132">
        <f>COUNTIF(F4:F29,"Not Comply")</f>
        <v>0</v>
      </c>
    </row>
    <row r="3" spans="2:11" s="8" customFormat="1" ht="29.5" thickBot="1">
      <c r="B3" s="21" t="s">
        <v>115</v>
      </c>
      <c r="C3" s="21" t="s">
        <v>48</v>
      </c>
      <c r="D3" s="21" t="s">
        <v>57</v>
      </c>
      <c r="E3" s="21" t="s">
        <v>1812</v>
      </c>
      <c r="F3" s="21" t="s">
        <v>1410</v>
      </c>
      <c r="G3" s="21" t="s">
        <v>1845</v>
      </c>
      <c r="H3" s="21" t="s">
        <v>1846</v>
      </c>
      <c r="I3" s="21" t="s">
        <v>1847</v>
      </c>
      <c r="J3" s="21" t="s">
        <v>1848</v>
      </c>
      <c r="K3" s="132" t="s">
        <v>2036</v>
      </c>
    </row>
    <row r="4" spans="2:11" ht="44" thickTop="1">
      <c r="B4" s="28" t="s">
        <v>499</v>
      </c>
      <c r="C4" s="29" t="str">
        <f>IF(Home!B144=TRUE,"Applicable","Not Applicable")</f>
        <v>Not Applicable</v>
      </c>
      <c r="D4" s="29" t="s">
        <v>578</v>
      </c>
      <c r="E4" s="28" t="s">
        <v>500</v>
      </c>
      <c r="F4" s="22" t="str">
        <f t="shared" ref="F4:F20"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43.5">
      <c r="B5" s="9" t="s">
        <v>501</v>
      </c>
      <c r="C5" s="23" t="str">
        <f>IF(Home!B144=TRUE,"Applicable","Not Applicable")</f>
        <v>Not Applicable</v>
      </c>
      <c r="D5" s="23" t="s">
        <v>580</v>
      </c>
      <c r="E5" s="9" t="s">
        <v>502</v>
      </c>
      <c r="F5" s="22" t="str">
        <f t="shared" si="0"/>
        <v>NA</v>
      </c>
      <c r="G5" s="22" t="str">
        <f t="shared" ref="G5:G20" si="1">IF(F5="not comply","Gaps to be stated here","")</f>
        <v/>
      </c>
      <c r="H5" s="22" t="str">
        <f t="shared" ref="H5:H20" si="2">IF(F5="not comply","action to be stated here","")</f>
        <v/>
      </c>
      <c r="I5" s="22" t="str">
        <f t="shared" ref="I5:I20" si="3">IF(F5="not comply","Name of PIC to be stated here","")</f>
        <v/>
      </c>
      <c r="J5" s="22" t="str">
        <f t="shared" ref="J5:J20" si="4">IF(F5="not comply","action date to be stated here","")</f>
        <v/>
      </c>
      <c r="K5" s="14"/>
    </row>
    <row r="6" spans="2:11" ht="29">
      <c r="B6" s="9" t="s">
        <v>503</v>
      </c>
      <c r="C6" s="23" t="str">
        <f>IF(Home!B144=TRUE,"Applicable","Not Applicable")</f>
        <v>Not Applicable</v>
      </c>
      <c r="D6" s="23" t="s">
        <v>580</v>
      </c>
      <c r="E6" s="9" t="s">
        <v>504</v>
      </c>
      <c r="F6" s="22" t="str">
        <f t="shared" si="0"/>
        <v>NA</v>
      </c>
      <c r="G6" s="22" t="str">
        <f t="shared" si="1"/>
        <v/>
      </c>
      <c r="H6" s="22" t="str">
        <f t="shared" si="2"/>
        <v/>
      </c>
      <c r="I6" s="22" t="str">
        <f t="shared" si="3"/>
        <v/>
      </c>
      <c r="J6" s="22" t="str">
        <f t="shared" si="4"/>
        <v/>
      </c>
      <c r="K6" s="14"/>
    </row>
    <row r="7" spans="2:11" ht="43.5">
      <c r="B7" s="9" t="s">
        <v>505</v>
      </c>
      <c r="C7" s="23" t="str">
        <f>IF(Home!B144=TRUE,"Applicable","Not Applicable")</f>
        <v>Not Applicable</v>
      </c>
      <c r="D7" s="23" t="s">
        <v>580</v>
      </c>
      <c r="E7" s="9" t="s">
        <v>506</v>
      </c>
      <c r="F7" s="22" t="str">
        <f t="shared" si="0"/>
        <v>NA</v>
      </c>
      <c r="G7" s="22" t="str">
        <f t="shared" si="1"/>
        <v/>
      </c>
      <c r="H7" s="22" t="str">
        <f t="shared" si="2"/>
        <v/>
      </c>
      <c r="I7" s="22" t="str">
        <f t="shared" si="3"/>
        <v/>
      </c>
      <c r="J7" s="22" t="str">
        <f t="shared" si="4"/>
        <v/>
      </c>
      <c r="K7" s="14"/>
    </row>
    <row r="8" spans="2:11" ht="43.5">
      <c r="B8" s="9" t="s">
        <v>507</v>
      </c>
      <c r="C8" s="23" t="str">
        <f>IF(Home!B144=TRUE,"Applicable","Not Applicable")</f>
        <v>Not Applicable</v>
      </c>
      <c r="D8" s="23" t="s">
        <v>580</v>
      </c>
      <c r="E8" s="9" t="s">
        <v>508</v>
      </c>
      <c r="F8" s="22" t="str">
        <f t="shared" si="0"/>
        <v>NA</v>
      </c>
      <c r="G8" s="22" t="str">
        <f t="shared" si="1"/>
        <v/>
      </c>
      <c r="H8" s="22" t="str">
        <f t="shared" si="2"/>
        <v/>
      </c>
      <c r="I8" s="22" t="str">
        <f t="shared" si="3"/>
        <v/>
      </c>
      <c r="J8" s="22" t="str">
        <f t="shared" si="4"/>
        <v/>
      </c>
      <c r="K8" s="14"/>
    </row>
    <row r="9" spans="2:11" ht="29">
      <c r="B9" s="9" t="s">
        <v>509</v>
      </c>
      <c r="C9" s="23" t="str">
        <f>IF(Home!B144=TRUE,"Applicable","Not Applicable")</f>
        <v>Not Applicable</v>
      </c>
      <c r="D9" s="23" t="s">
        <v>580</v>
      </c>
      <c r="E9" s="9" t="s">
        <v>510</v>
      </c>
      <c r="F9" s="22" t="str">
        <f t="shared" si="0"/>
        <v>NA</v>
      </c>
      <c r="G9" s="22" t="str">
        <f t="shared" si="1"/>
        <v/>
      </c>
      <c r="H9" s="22" t="str">
        <f t="shared" si="2"/>
        <v/>
      </c>
      <c r="I9" s="22" t="str">
        <f t="shared" si="3"/>
        <v/>
      </c>
      <c r="J9" s="22" t="str">
        <f t="shared" si="4"/>
        <v/>
      </c>
      <c r="K9" s="14"/>
    </row>
    <row r="10" spans="2:11" ht="29">
      <c r="B10" s="9" t="s">
        <v>511</v>
      </c>
      <c r="C10" s="23" t="str">
        <f>IF(Home!B144=TRUE,"Applicable","Not Applicable")</f>
        <v>Not Applicable</v>
      </c>
      <c r="D10" s="23" t="s">
        <v>580</v>
      </c>
      <c r="E10" s="9" t="s">
        <v>512</v>
      </c>
      <c r="F10" s="22" t="str">
        <f t="shared" si="0"/>
        <v>NA</v>
      </c>
      <c r="G10" s="22" t="str">
        <f t="shared" si="1"/>
        <v/>
      </c>
      <c r="H10" s="22" t="str">
        <f t="shared" si="2"/>
        <v/>
      </c>
      <c r="I10" s="22" t="str">
        <f t="shared" si="3"/>
        <v/>
      </c>
      <c r="J10" s="22" t="str">
        <f t="shared" si="4"/>
        <v/>
      </c>
      <c r="K10" s="14"/>
    </row>
    <row r="11" spans="2:11" ht="29">
      <c r="B11" s="9" t="s">
        <v>513</v>
      </c>
      <c r="C11" s="23" t="str">
        <f>IF(Home!B144=TRUE,"Applicable","Not Applicable")</f>
        <v>Not Applicable</v>
      </c>
      <c r="D11" s="23" t="s">
        <v>578</v>
      </c>
      <c r="E11" s="9" t="s">
        <v>514</v>
      </c>
      <c r="F11" s="22" t="str">
        <f t="shared" si="0"/>
        <v>NA</v>
      </c>
      <c r="G11" s="22" t="str">
        <f t="shared" si="1"/>
        <v/>
      </c>
      <c r="H11" s="22" t="str">
        <f t="shared" si="2"/>
        <v/>
      </c>
      <c r="I11" s="22" t="str">
        <f t="shared" si="3"/>
        <v/>
      </c>
      <c r="J11" s="22" t="str">
        <f t="shared" si="4"/>
        <v/>
      </c>
      <c r="K11" s="14"/>
    </row>
    <row r="12" spans="2:11" ht="43.5">
      <c r="B12" s="9" t="s">
        <v>515</v>
      </c>
      <c r="C12" s="23" t="str">
        <f>IF(Home!B144=TRUE,"Applicable","Not Applicable")</f>
        <v>Not Applicable</v>
      </c>
      <c r="D12" s="23" t="s">
        <v>580</v>
      </c>
      <c r="E12" s="9" t="s">
        <v>516</v>
      </c>
      <c r="F12" s="22" t="str">
        <f t="shared" si="0"/>
        <v>NA</v>
      </c>
      <c r="G12" s="22" t="str">
        <f t="shared" si="1"/>
        <v/>
      </c>
      <c r="H12" s="22" t="str">
        <f t="shared" si="2"/>
        <v/>
      </c>
      <c r="I12" s="22" t="str">
        <f t="shared" si="3"/>
        <v/>
      </c>
      <c r="J12" s="22" t="str">
        <f t="shared" si="4"/>
        <v/>
      </c>
      <c r="K12" s="14"/>
    </row>
    <row r="13" spans="2:11" ht="43.5">
      <c r="B13" s="9" t="s">
        <v>517</v>
      </c>
      <c r="C13" s="23" t="str">
        <f>IF(Home!B144=TRUE,"Applicable","Not Applicable")</f>
        <v>Not Applicable</v>
      </c>
      <c r="D13" s="23" t="s">
        <v>580</v>
      </c>
      <c r="E13" s="9" t="s">
        <v>518</v>
      </c>
      <c r="F13" s="22" t="str">
        <f t="shared" si="0"/>
        <v>NA</v>
      </c>
      <c r="G13" s="22" t="str">
        <f t="shared" si="1"/>
        <v/>
      </c>
      <c r="H13" s="22" t="str">
        <f t="shared" si="2"/>
        <v/>
      </c>
      <c r="I13" s="22" t="str">
        <f t="shared" si="3"/>
        <v/>
      </c>
      <c r="J13" s="22" t="str">
        <f t="shared" si="4"/>
        <v/>
      </c>
      <c r="K13" s="14"/>
    </row>
    <row r="14" spans="2:11" ht="29">
      <c r="B14" s="9" t="s">
        <v>519</v>
      </c>
      <c r="C14" s="23" t="str">
        <f>IF(Home!B144=TRUE,"Applicable","Not Applicable")</f>
        <v>Not Applicable</v>
      </c>
      <c r="D14" s="23" t="s">
        <v>580</v>
      </c>
      <c r="E14" s="9" t="s">
        <v>520</v>
      </c>
      <c r="F14" s="22" t="str">
        <f t="shared" si="0"/>
        <v>NA</v>
      </c>
      <c r="G14" s="22" t="str">
        <f t="shared" si="1"/>
        <v/>
      </c>
      <c r="H14" s="22" t="str">
        <f t="shared" si="2"/>
        <v/>
      </c>
      <c r="I14" s="22" t="str">
        <f t="shared" si="3"/>
        <v/>
      </c>
      <c r="J14" s="22" t="str">
        <f t="shared" si="4"/>
        <v/>
      </c>
      <c r="K14" s="14"/>
    </row>
    <row r="15" spans="2:11" ht="29">
      <c r="B15" s="9" t="s">
        <v>521</v>
      </c>
      <c r="C15" s="23" t="str">
        <f>IF(Home!B144=TRUE,"Applicable","Not Applicable")</f>
        <v>Not Applicable</v>
      </c>
      <c r="D15" s="23" t="s">
        <v>578</v>
      </c>
      <c r="E15" s="9" t="s">
        <v>522</v>
      </c>
      <c r="F15" s="22" t="str">
        <f t="shared" si="0"/>
        <v>NA</v>
      </c>
      <c r="G15" s="22" t="str">
        <f t="shared" si="1"/>
        <v/>
      </c>
      <c r="H15" s="22" t="str">
        <f t="shared" si="2"/>
        <v/>
      </c>
      <c r="I15" s="22" t="str">
        <f t="shared" si="3"/>
        <v/>
      </c>
      <c r="J15" s="22" t="str">
        <f t="shared" si="4"/>
        <v/>
      </c>
      <c r="K15" s="14"/>
    </row>
    <row r="16" spans="2:11" ht="29">
      <c r="B16" s="9" t="s">
        <v>523</v>
      </c>
      <c r="C16" s="23" t="str">
        <f>IF(Home!B144=TRUE,"Applicable","Not Applicable")</f>
        <v>Not Applicable</v>
      </c>
      <c r="D16" s="23" t="s">
        <v>578</v>
      </c>
      <c r="E16" s="9" t="s">
        <v>524</v>
      </c>
      <c r="F16" s="22" t="str">
        <f t="shared" si="0"/>
        <v>NA</v>
      </c>
      <c r="G16" s="22" t="str">
        <f t="shared" si="1"/>
        <v/>
      </c>
      <c r="H16" s="22" t="str">
        <f t="shared" si="2"/>
        <v/>
      </c>
      <c r="I16" s="22" t="str">
        <f t="shared" si="3"/>
        <v/>
      </c>
      <c r="J16" s="22" t="str">
        <f t="shared" si="4"/>
        <v/>
      </c>
      <c r="K16" s="14"/>
    </row>
    <row r="17" spans="2:11" ht="29">
      <c r="B17" s="9" t="s">
        <v>525</v>
      </c>
      <c r="C17" s="23" t="str">
        <f>IF(Home!B144=TRUE,"Applicable","Not Applicable")</f>
        <v>Not Applicable</v>
      </c>
      <c r="D17" s="23" t="s">
        <v>579</v>
      </c>
      <c r="E17" s="9" t="s">
        <v>526</v>
      </c>
      <c r="F17" s="22" t="str">
        <f t="shared" si="0"/>
        <v>NA</v>
      </c>
      <c r="G17" s="22" t="str">
        <f t="shared" si="1"/>
        <v/>
      </c>
      <c r="H17" s="22" t="str">
        <f t="shared" si="2"/>
        <v/>
      </c>
      <c r="I17" s="22" t="str">
        <f t="shared" si="3"/>
        <v/>
      </c>
      <c r="J17" s="22" t="str">
        <f t="shared" si="4"/>
        <v/>
      </c>
      <c r="K17" s="14"/>
    </row>
    <row r="18" spans="2:11" ht="29">
      <c r="B18" s="9" t="s">
        <v>527</v>
      </c>
      <c r="C18" s="23" t="str">
        <f>IF(Home!B144=TRUE,"Applicable","Not Applicable")</f>
        <v>Not Applicable</v>
      </c>
      <c r="D18" s="23" t="s">
        <v>580</v>
      </c>
      <c r="E18" s="9" t="s">
        <v>528</v>
      </c>
      <c r="F18" s="22" t="str">
        <f t="shared" si="0"/>
        <v>NA</v>
      </c>
      <c r="G18" s="22" t="str">
        <f t="shared" si="1"/>
        <v/>
      </c>
      <c r="H18" s="22" t="str">
        <f t="shared" si="2"/>
        <v/>
      </c>
      <c r="I18" s="22" t="str">
        <f t="shared" si="3"/>
        <v/>
      </c>
      <c r="J18" s="22" t="str">
        <f t="shared" si="4"/>
        <v/>
      </c>
      <c r="K18" s="14"/>
    </row>
    <row r="19" spans="2:11" ht="29">
      <c r="B19" s="9" t="s">
        <v>529</v>
      </c>
      <c r="C19" s="23" t="str">
        <f>IF(Home!B144=TRUE,"Applicable","Not Applicable")</f>
        <v>Not Applicable</v>
      </c>
      <c r="D19" s="23" t="s">
        <v>580</v>
      </c>
      <c r="E19" s="9" t="s">
        <v>530</v>
      </c>
      <c r="F19" s="22" t="str">
        <f t="shared" si="0"/>
        <v>NA</v>
      </c>
      <c r="G19" s="22" t="str">
        <f t="shared" si="1"/>
        <v/>
      </c>
      <c r="H19" s="22" t="str">
        <f t="shared" si="2"/>
        <v/>
      </c>
      <c r="I19" s="22" t="str">
        <f t="shared" si="3"/>
        <v/>
      </c>
      <c r="J19" s="22" t="str">
        <f t="shared" si="4"/>
        <v/>
      </c>
      <c r="K19" s="14"/>
    </row>
    <row r="20" spans="2:11" ht="29">
      <c r="B20" s="9" t="s">
        <v>531</v>
      </c>
      <c r="C20" s="23" t="str">
        <f t="shared" ref="C20" si="5">C19</f>
        <v>Not Applicable</v>
      </c>
      <c r="D20" s="23" t="s">
        <v>578</v>
      </c>
      <c r="E20" s="9" t="s">
        <v>532</v>
      </c>
      <c r="F20" s="22" t="str">
        <f t="shared" si="0"/>
        <v>NA</v>
      </c>
      <c r="G20" s="22" t="str">
        <f t="shared" si="1"/>
        <v/>
      </c>
      <c r="H20" s="22" t="str">
        <f t="shared" si="2"/>
        <v/>
      </c>
      <c r="I20" s="22" t="str">
        <f t="shared" si="3"/>
        <v/>
      </c>
      <c r="J20" s="22" t="str">
        <f t="shared" si="4"/>
        <v/>
      </c>
      <c r="K20" s="14"/>
    </row>
  </sheetData>
  <conditionalFormatting sqref="C1:C1048576">
    <cfRule type="containsText" dxfId="239" priority="11" operator="containsText" text="Not Applicable">
      <formula>NOT(ISERROR(SEARCH("Not Applicable",C1)))</formula>
    </cfRule>
    <cfRule type="containsText" dxfId="238" priority="12" operator="containsText" text="Applicable">
      <formula>NOT(ISERROR(SEARCH("Applicable",C1)))</formula>
    </cfRule>
  </conditionalFormatting>
  <conditionalFormatting sqref="F4:F50">
    <cfRule type="containsText" dxfId="237" priority="7" operator="containsText" text="Not">
      <formula>NOT(ISERROR(SEARCH("Not",F4)))</formula>
    </cfRule>
    <cfRule type="containsText" dxfId="236" priority="8" operator="containsText" text="Comply">
      <formula>NOT(ISERROR(SEARCH("Comply",F4)))</formula>
    </cfRule>
  </conditionalFormatting>
  <conditionalFormatting sqref="G4:G20">
    <cfRule type="containsText" dxfId="235" priority="4" operator="containsText" text="Gaps to be stated here">
      <formula>NOT(ISERROR(SEARCH("Gaps to be stated here",G4)))</formula>
    </cfRule>
  </conditionalFormatting>
  <conditionalFormatting sqref="H4:H20">
    <cfRule type="containsText" dxfId="234" priority="5" operator="containsText" text="action to be stated here">
      <formula>NOT(ISERROR(SEARCH("action to be stated here",H4)))</formula>
    </cfRule>
  </conditionalFormatting>
  <conditionalFormatting sqref="I4:I20">
    <cfRule type="containsText" dxfId="233" priority="3" operator="containsText" text="Name of PIC to be stated here">
      <formula>NOT(ISERROR(SEARCH("Name of PIC to be stated here",I4)))</formula>
    </cfRule>
  </conditionalFormatting>
  <conditionalFormatting sqref="J4:J20">
    <cfRule type="containsText" dxfId="232" priority="2" operator="containsText" text="action date to be stated here">
      <formula>NOT(ISERROR(SEARCH("action date to be stated here",J4)))</formula>
    </cfRule>
  </conditionalFormatting>
  <conditionalFormatting sqref="K3">
    <cfRule type="expression" dxfId="231" priority="1">
      <formula>$K$2&gt;0</formula>
    </cfRule>
  </conditionalFormatting>
  <conditionalFormatting sqref="K4:K20">
    <cfRule type="expression" dxfId="23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70FD51C6-9EC9-4295-923F-D61603C51D0F}">
          <x14:formula1>
            <xm:f>'back-data'!$B$4:$B$6</xm:f>
          </x14:formula1>
          <xm:sqref>D4:D20</xm:sqref>
        </x14:dataValidation>
        <x14:dataValidation type="list" allowBlank="1" showInputMessage="1" showErrorMessage="1" xr:uid="{E0E23175-612F-4175-9FD5-09A71AE7BDD8}">
          <x14:formula1>
            <xm:f>'back-data'!$B$13:$B$15</xm:f>
          </x14:formula1>
          <xm:sqref>F4:F20</xm:sqref>
        </x14:dataValidation>
        <x14:dataValidation type="list" allowBlank="1" showInputMessage="1" showErrorMessage="1" xr:uid="{3136D3A8-EB1D-482A-8A6A-07CDB8FFDBE5}">
          <x14:formula1>
            <xm:f>Action_Tracker_Data!$E$4:$E$13</xm:f>
          </x14:formula1>
          <xm:sqref>K4:K20</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5AAD0-745A-4FB5-8B36-9D0B0EBCEE7F}">
  <sheetPr>
    <tabColor rgb="FF024DC2"/>
  </sheetPr>
  <dimension ref="B1:K31"/>
  <sheetViews>
    <sheetView showGridLines="0" showRowColHeaders="0" topLeftCell="D1" zoomScaleNormal="100" workbookViewId="0">
      <selection activeCell="K3" sqref="K3"/>
    </sheetView>
  </sheetViews>
  <sheetFormatPr defaultRowHeight="14.5"/>
  <cols>
    <col min="1" max="1" width="27.81640625" style="8" customWidth="1"/>
    <col min="2" max="2" width="48.81640625" style="8" customWidth="1"/>
    <col min="3" max="4" width="22" style="8" customWidth="1"/>
    <col min="5" max="5" width="25.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745</v>
      </c>
      <c r="F1" s="15"/>
      <c r="G1" s="8"/>
      <c r="H1" s="8"/>
      <c r="I1" s="8"/>
      <c r="J1" s="8"/>
    </row>
    <row r="2" spans="2:11" customFormat="1">
      <c r="F2" s="15"/>
      <c r="G2" s="8"/>
      <c r="H2" s="8"/>
      <c r="I2" s="8"/>
      <c r="J2" s="8"/>
      <c r="K2" s="132">
        <f>COUNTIF(F4:F100,"Not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22" t="s">
        <v>384</v>
      </c>
      <c r="C4" s="23" t="s">
        <v>305</v>
      </c>
      <c r="D4" s="22" t="s">
        <v>580</v>
      </c>
      <c r="E4" s="22" t="s">
        <v>37</v>
      </c>
      <c r="F4" s="22" t="str">
        <f t="shared" ref="F4:F31" si="0">IF(C4="Not Applicable","NA","Comply")</f>
        <v>Comply</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43.5">
      <c r="B5" s="22" t="s">
        <v>385</v>
      </c>
      <c r="C5" s="23" t="s">
        <v>305</v>
      </c>
      <c r="D5" s="22" t="s">
        <v>580</v>
      </c>
      <c r="E5" s="22" t="s">
        <v>55</v>
      </c>
      <c r="F5" s="22" t="str">
        <f t="shared" si="0"/>
        <v>Comply</v>
      </c>
      <c r="G5" s="22" t="str">
        <f t="shared" ref="G5:G31" si="1">IF(F5="not comply","Gaps to be stated here","")</f>
        <v/>
      </c>
      <c r="H5" s="22" t="str">
        <f t="shared" ref="H5:H31" si="2">IF(F5="not comply","action to be stated here","")</f>
        <v/>
      </c>
      <c r="I5" s="22" t="str">
        <f t="shared" ref="I5:I31" si="3">IF(F5="not comply","Name of PIC to be stated here","")</f>
        <v/>
      </c>
      <c r="J5" s="22" t="str">
        <f t="shared" ref="J5:J31" si="4">IF(F5="not comply","action date to be stated here","")</f>
        <v/>
      </c>
      <c r="K5" s="14"/>
    </row>
    <row r="6" spans="2:11" ht="29">
      <c r="B6" s="22" t="s">
        <v>386</v>
      </c>
      <c r="C6" s="23" t="str">
        <f>C5</f>
        <v>Applicable</v>
      </c>
      <c r="D6" s="22" t="s">
        <v>578</v>
      </c>
      <c r="E6" s="22" t="s">
        <v>39</v>
      </c>
      <c r="F6" s="22" t="str">
        <f t="shared" si="0"/>
        <v>Comply</v>
      </c>
      <c r="G6" s="22" t="str">
        <f t="shared" si="1"/>
        <v/>
      </c>
      <c r="H6" s="22" t="str">
        <f t="shared" si="2"/>
        <v/>
      </c>
      <c r="I6" s="22" t="str">
        <f t="shared" si="3"/>
        <v/>
      </c>
      <c r="J6" s="22" t="str">
        <f t="shared" si="4"/>
        <v/>
      </c>
      <c r="K6" s="14"/>
    </row>
    <row r="7" spans="2:11" ht="29">
      <c r="B7" s="22" t="s">
        <v>387</v>
      </c>
      <c r="C7" s="23" t="str">
        <f t="shared" ref="C7:C8" si="5">C6</f>
        <v>Applicable</v>
      </c>
      <c r="D7" s="22" t="s">
        <v>579</v>
      </c>
      <c r="E7" s="22" t="s">
        <v>38</v>
      </c>
      <c r="F7" s="22" t="str">
        <f t="shared" si="0"/>
        <v>Comply</v>
      </c>
      <c r="G7" s="22" t="str">
        <f t="shared" si="1"/>
        <v/>
      </c>
      <c r="H7" s="22" t="str">
        <f t="shared" si="2"/>
        <v/>
      </c>
      <c r="I7" s="22" t="str">
        <f t="shared" si="3"/>
        <v/>
      </c>
      <c r="J7" s="22" t="str">
        <f t="shared" si="4"/>
        <v/>
      </c>
      <c r="K7" s="14"/>
    </row>
    <row r="8" spans="2:11" ht="43.5">
      <c r="B8" s="22" t="s">
        <v>388</v>
      </c>
      <c r="C8" s="23" t="str">
        <f t="shared" si="5"/>
        <v>Applicable</v>
      </c>
      <c r="D8" s="22" t="s">
        <v>580</v>
      </c>
      <c r="E8" s="22" t="s">
        <v>36</v>
      </c>
      <c r="F8" s="22" t="str">
        <f t="shared" si="0"/>
        <v>Comply</v>
      </c>
      <c r="G8" s="22" t="str">
        <f t="shared" si="1"/>
        <v/>
      </c>
      <c r="H8" s="22" t="str">
        <f t="shared" si="2"/>
        <v/>
      </c>
      <c r="I8" s="22" t="str">
        <f t="shared" si="3"/>
        <v/>
      </c>
      <c r="J8" s="22" t="str">
        <f t="shared" si="4"/>
        <v/>
      </c>
      <c r="K8" s="14"/>
    </row>
    <row r="9" spans="2:11" ht="29">
      <c r="B9" s="22" t="s">
        <v>389</v>
      </c>
      <c r="C9" s="23" t="str">
        <f>IF(OR(Home!B250=TRUE,Home!B251=TRUE,Home!B252=TRUE,Home!B253=TRUE,Home!B254=TRUE,Home!B255=TRUE,Home!B256=TRUE,Home!B257=TRUE),"Applicable","Not Applicable")</f>
        <v>Not Applicable</v>
      </c>
      <c r="D9" s="22" t="s">
        <v>578</v>
      </c>
      <c r="E9" s="22" t="s">
        <v>55</v>
      </c>
      <c r="F9" s="22" t="str">
        <f t="shared" si="0"/>
        <v>NA</v>
      </c>
      <c r="G9" s="22" t="str">
        <f t="shared" si="1"/>
        <v/>
      </c>
      <c r="H9" s="22" t="str">
        <f t="shared" si="2"/>
        <v/>
      </c>
      <c r="I9" s="22" t="str">
        <f t="shared" si="3"/>
        <v/>
      </c>
      <c r="J9" s="22" t="str">
        <f t="shared" si="4"/>
        <v/>
      </c>
      <c r="K9" s="14"/>
    </row>
    <row r="10" spans="2:11" ht="43.5">
      <c r="B10" s="22" t="s">
        <v>390</v>
      </c>
      <c r="C10" s="23" t="str">
        <f t="shared" ref="C10" si="6">C9</f>
        <v>Not Applicable</v>
      </c>
      <c r="D10" s="22" t="s">
        <v>580</v>
      </c>
      <c r="E10" s="22" t="s">
        <v>746</v>
      </c>
      <c r="F10" s="22" t="str">
        <f t="shared" si="0"/>
        <v>NA</v>
      </c>
      <c r="G10" s="22" t="str">
        <f t="shared" si="1"/>
        <v/>
      </c>
      <c r="H10" s="22" t="str">
        <f t="shared" si="2"/>
        <v/>
      </c>
      <c r="I10" s="22" t="str">
        <f t="shared" si="3"/>
        <v/>
      </c>
      <c r="J10" s="22" t="str">
        <f t="shared" si="4"/>
        <v/>
      </c>
      <c r="K10" s="14"/>
    </row>
    <row r="11" spans="2:11" ht="58">
      <c r="B11" s="22" t="s">
        <v>391</v>
      </c>
      <c r="C11" s="23" t="str">
        <f>C10</f>
        <v>Not Applicable</v>
      </c>
      <c r="D11" s="22" t="s">
        <v>578</v>
      </c>
      <c r="E11" s="22" t="s">
        <v>747</v>
      </c>
      <c r="F11" s="22" t="str">
        <f t="shared" si="0"/>
        <v>NA</v>
      </c>
      <c r="G11" s="22" t="str">
        <f t="shared" si="1"/>
        <v/>
      </c>
      <c r="H11" s="22" t="str">
        <f t="shared" si="2"/>
        <v/>
      </c>
      <c r="I11" s="22" t="str">
        <f t="shared" si="3"/>
        <v/>
      </c>
      <c r="J11" s="22" t="str">
        <f t="shared" si="4"/>
        <v/>
      </c>
      <c r="K11" s="14"/>
    </row>
    <row r="12" spans="2:11" ht="43.5">
      <c r="B12" s="22" t="s">
        <v>392</v>
      </c>
      <c r="C12" s="23" t="s">
        <v>305</v>
      </c>
      <c r="D12" s="22" t="s">
        <v>580</v>
      </c>
      <c r="E12" s="22" t="s">
        <v>31</v>
      </c>
      <c r="F12" s="22" t="str">
        <f t="shared" si="0"/>
        <v>Comply</v>
      </c>
      <c r="G12" s="22" t="str">
        <f t="shared" si="1"/>
        <v/>
      </c>
      <c r="H12" s="22" t="str">
        <f t="shared" si="2"/>
        <v/>
      </c>
      <c r="I12" s="22" t="str">
        <f t="shared" si="3"/>
        <v/>
      </c>
      <c r="J12" s="22" t="str">
        <f t="shared" si="4"/>
        <v/>
      </c>
      <c r="K12" s="14"/>
    </row>
    <row r="13" spans="2:11" ht="58">
      <c r="B13" s="22" t="s">
        <v>393</v>
      </c>
      <c r="C13" s="23" t="s">
        <v>305</v>
      </c>
      <c r="D13" s="22" t="s">
        <v>580</v>
      </c>
      <c r="E13" s="22" t="s">
        <v>748</v>
      </c>
      <c r="F13" s="22" t="str">
        <f t="shared" si="0"/>
        <v>Comply</v>
      </c>
      <c r="G13" s="22" t="str">
        <f t="shared" si="1"/>
        <v/>
      </c>
      <c r="H13" s="22" t="str">
        <f t="shared" si="2"/>
        <v/>
      </c>
      <c r="I13" s="22" t="str">
        <f t="shared" si="3"/>
        <v/>
      </c>
      <c r="J13" s="22" t="str">
        <f t="shared" si="4"/>
        <v/>
      </c>
      <c r="K13" s="14"/>
    </row>
    <row r="14" spans="2:11" ht="43.5">
      <c r="B14" s="22" t="s">
        <v>394</v>
      </c>
      <c r="C14" s="23" t="s">
        <v>305</v>
      </c>
      <c r="D14" s="22" t="s">
        <v>580</v>
      </c>
      <c r="E14" s="22" t="s">
        <v>43</v>
      </c>
      <c r="F14" s="22" t="str">
        <f t="shared" si="0"/>
        <v>Comply</v>
      </c>
      <c r="G14" s="22" t="str">
        <f t="shared" si="1"/>
        <v/>
      </c>
      <c r="H14" s="22" t="str">
        <f t="shared" si="2"/>
        <v/>
      </c>
      <c r="I14" s="22" t="str">
        <f t="shared" si="3"/>
        <v/>
      </c>
      <c r="J14" s="22" t="str">
        <f t="shared" si="4"/>
        <v/>
      </c>
      <c r="K14" s="14"/>
    </row>
    <row r="15" spans="2:11" ht="29">
      <c r="B15" s="22" t="s">
        <v>395</v>
      </c>
      <c r="C15" s="23" t="s">
        <v>305</v>
      </c>
      <c r="D15" s="22" t="s">
        <v>579</v>
      </c>
      <c r="E15" s="22" t="s">
        <v>30</v>
      </c>
      <c r="F15" s="22" t="str">
        <f t="shared" si="0"/>
        <v>Comply</v>
      </c>
      <c r="G15" s="22" t="str">
        <f t="shared" si="1"/>
        <v/>
      </c>
      <c r="H15" s="22" t="str">
        <f t="shared" si="2"/>
        <v/>
      </c>
      <c r="I15" s="22" t="str">
        <f t="shared" si="3"/>
        <v/>
      </c>
      <c r="J15" s="22" t="str">
        <f t="shared" si="4"/>
        <v/>
      </c>
      <c r="K15" s="14"/>
    </row>
    <row r="16" spans="2:11" ht="29">
      <c r="B16" s="22" t="s">
        <v>396</v>
      </c>
      <c r="C16" s="23" t="s">
        <v>305</v>
      </c>
      <c r="D16" s="22" t="s">
        <v>579</v>
      </c>
      <c r="E16" s="22" t="s">
        <v>37</v>
      </c>
      <c r="F16" s="22" t="str">
        <f t="shared" si="0"/>
        <v>Comply</v>
      </c>
      <c r="G16" s="22" t="str">
        <f t="shared" si="1"/>
        <v/>
      </c>
      <c r="H16" s="22" t="str">
        <f t="shared" si="2"/>
        <v/>
      </c>
      <c r="I16" s="22" t="str">
        <f t="shared" si="3"/>
        <v/>
      </c>
      <c r="J16" s="22" t="str">
        <f t="shared" si="4"/>
        <v/>
      </c>
      <c r="K16" s="14"/>
    </row>
    <row r="17" spans="2:11">
      <c r="B17" s="22" t="s">
        <v>397</v>
      </c>
      <c r="C17" s="23" t="s">
        <v>305</v>
      </c>
      <c r="D17" s="22" t="s">
        <v>578</v>
      </c>
      <c r="E17" s="22" t="s">
        <v>38</v>
      </c>
      <c r="F17" s="22" t="str">
        <f t="shared" si="0"/>
        <v>Comply</v>
      </c>
      <c r="G17" s="22" t="str">
        <f t="shared" si="1"/>
        <v/>
      </c>
      <c r="H17" s="22" t="str">
        <f t="shared" si="2"/>
        <v/>
      </c>
      <c r="I17" s="22" t="str">
        <f t="shared" si="3"/>
        <v/>
      </c>
      <c r="J17" s="22" t="str">
        <f t="shared" si="4"/>
        <v/>
      </c>
      <c r="K17" s="14"/>
    </row>
    <row r="18" spans="2:11" ht="29">
      <c r="B18" s="22" t="s">
        <v>398</v>
      </c>
      <c r="C18" s="23" t="s">
        <v>305</v>
      </c>
      <c r="D18" s="22" t="s">
        <v>579</v>
      </c>
      <c r="E18" s="22" t="s">
        <v>32</v>
      </c>
      <c r="F18" s="22" t="str">
        <f t="shared" si="0"/>
        <v>Comply</v>
      </c>
      <c r="G18" s="22" t="str">
        <f t="shared" si="1"/>
        <v/>
      </c>
      <c r="H18" s="22" t="str">
        <f t="shared" si="2"/>
        <v/>
      </c>
      <c r="I18" s="22" t="str">
        <f t="shared" si="3"/>
        <v/>
      </c>
      <c r="J18" s="22" t="str">
        <f t="shared" si="4"/>
        <v/>
      </c>
      <c r="K18" s="14"/>
    </row>
    <row r="19" spans="2:11" ht="43.5">
      <c r="B19" s="22" t="s">
        <v>399</v>
      </c>
      <c r="C19" s="23" t="s">
        <v>305</v>
      </c>
      <c r="D19" s="22" t="s">
        <v>580</v>
      </c>
      <c r="E19" s="22" t="s">
        <v>55</v>
      </c>
      <c r="F19" s="22" t="str">
        <f t="shared" si="0"/>
        <v>Comply</v>
      </c>
      <c r="G19" s="22" t="str">
        <f t="shared" si="1"/>
        <v/>
      </c>
      <c r="H19" s="22" t="str">
        <f t="shared" si="2"/>
        <v/>
      </c>
      <c r="I19" s="22" t="str">
        <f t="shared" si="3"/>
        <v/>
      </c>
      <c r="J19" s="22" t="str">
        <f t="shared" si="4"/>
        <v/>
      </c>
      <c r="K19" s="14"/>
    </row>
    <row r="20" spans="2:11">
      <c r="B20" s="22" t="s">
        <v>400</v>
      </c>
      <c r="C20" s="23" t="s">
        <v>305</v>
      </c>
      <c r="D20" s="22" t="s">
        <v>579</v>
      </c>
      <c r="E20" s="22" t="s">
        <v>36</v>
      </c>
      <c r="F20" s="22" t="str">
        <f t="shared" si="0"/>
        <v>Comply</v>
      </c>
      <c r="G20" s="22" t="str">
        <f t="shared" si="1"/>
        <v/>
      </c>
      <c r="H20" s="22" t="str">
        <f t="shared" si="2"/>
        <v/>
      </c>
      <c r="I20" s="22" t="str">
        <f t="shared" si="3"/>
        <v/>
      </c>
      <c r="J20" s="22" t="str">
        <f t="shared" si="4"/>
        <v/>
      </c>
      <c r="K20" s="14"/>
    </row>
    <row r="21" spans="2:11" ht="29">
      <c r="B21" s="22" t="s">
        <v>401</v>
      </c>
      <c r="C21" s="23" t="s">
        <v>305</v>
      </c>
      <c r="D21" s="22" t="s">
        <v>579</v>
      </c>
      <c r="E21" s="22" t="s">
        <v>36</v>
      </c>
      <c r="F21" s="22" t="str">
        <f t="shared" si="0"/>
        <v>Comply</v>
      </c>
      <c r="G21" s="22" t="str">
        <f t="shared" si="1"/>
        <v/>
      </c>
      <c r="H21" s="22" t="str">
        <f t="shared" si="2"/>
        <v/>
      </c>
      <c r="I21" s="22" t="str">
        <f t="shared" si="3"/>
        <v/>
      </c>
      <c r="J21" s="22" t="str">
        <f t="shared" si="4"/>
        <v/>
      </c>
      <c r="K21" s="14"/>
    </row>
    <row r="22" spans="2:11" ht="29">
      <c r="B22" s="22" t="s">
        <v>402</v>
      </c>
      <c r="C22" s="23" t="s">
        <v>305</v>
      </c>
      <c r="D22" s="22" t="s">
        <v>578</v>
      </c>
      <c r="E22" s="22" t="s">
        <v>55</v>
      </c>
      <c r="F22" s="22" t="str">
        <f t="shared" si="0"/>
        <v>Comply</v>
      </c>
      <c r="G22" s="22" t="str">
        <f t="shared" si="1"/>
        <v/>
      </c>
      <c r="H22" s="22" t="str">
        <f t="shared" si="2"/>
        <v/>
      </c>
      <c r="I22" s="22" t="str">
        <f t="shared" si="3"/>
        <v/>
      </c>
      <c r="J22" s="22" t="str">
        <f t="shared" si="4"/>
        <v/>
      </c>
      <c r="K22" s="14"/>
    </row>
    <row r="23" spans="2:11" ht="29">
      <c r="B23" s="22" t="s">
        <v>403</v>
      </c>
      <c r="C23" s="23" t="s">
        <v>305</v>
      </c>
      <c r="D23" s="22" t="s">
        <v>578</v>
      </c>
      <c r="E23" s="22" t="s">
        <v>43</v>
      </c>
      <c r="F23" s="22" t="str">
        <f t="shared" si="0"/>
        <v>Comply</v>
      </c>
      <c r="G23" s="22" t="str">
        <f t="shared" si="1"/>
        <v/>
      </c>
      <c r="H23" s="22" t="str">
        <f t="shared" si="2"/>
        <v/>
      </c>
      <c r="I23" s="22" t="str">
        <f t="shared" si="3"/>
        <v/>
      </c>
      <c r="J23" s="22" t="str">
        <f t="shared" si="4"/>
        <v/>
      </c>
      <c r="K23" s="14"/>
    </row>
    <row r="24" spans="2:11" ht="43.5">
      <c r="B24" s="22" t="s">
        <v>404</v>
      </c>
      <c r="C24" s="23" t="s">
        <v>305</v>
      </c>
      <c r="D24" s="22" t="s">
        <v>580</v>
      </c>
      <c r="E24" s="22" t="s">
        <v>54</v>
      </c>
      <c r="F24" s="22" t="str">
        <f t="shared" si="0"/>
        <v>Comply</v>
      </c>
      <c r="G24" s="22" t="str">
        <f t="shared" si="1"/>
        <v/>
      </c>
      <c r="H24" s="22" t="str">
        <f t="shared" si="2"/>
        <v/>
      </c>
      <c r="I24" s="22" t="str">
        <f t="shared" si="3"/>
        <v/>
      </c>
      <c r="J24" s="22" t="str">
        <f t="shared" si="4"/>
        <v/>
      </c>
      <c r="K24" s="14"/>
    </row>
    <row r="25" spans="2:11" ht="43.5">
      <c r="B25" s="22" t="s">
        <v>405</v>
      </c>
      <c r="C25" s="23" t="s">
        <v>305</v>
      </c>
      <c r="D25" s="22" t="s">
        <v>580</v>
      </c>
      <c r="E25" s="22" t="s">
        <v>30</v>
      </c>
      <c r="F25" s="22" t="str">
        <f t="shared" si="0"/>
        <v>Comply</v>
      </c>
      <c r="G25" s="22" t="str">
        <f t="shared" si="1"/>
        <v/>
      </c>
      <c r="H25" s="22" t="str">
        <f t="shared" si="2"/>
        <v/>
      </c>
      <c r="I25" s="22" t="str">
        <f t="shared" si="3"/>
        <v/>
      </c>
      <c r="J25" s="22" t="str">
        <f t="shared" si="4"/>
        <v/>
      </c>
      <c r="K25" s="14"/>
    </row>
    <row r="26" spans="2:11" ht="43.5">
      <c r="B26" s="22" t="s">
        <v>406</v>
      </c>
      <c r="C26" s="23" t="s">
        <v>305</v>
      </c>
      <c r="D26" s="22" t="s">
        <v>578</v>
      </c>
      <c r="E26" s="22" t="s">
        <v>752</v>
      </c>
      <c r="F26" s="22" t="str">
        <f t="shared" si="0"/>
        <v>Comply</v>
      </c>
      <c r="G26" s="22" t="str">
        <f t="shared" si="1"/>
        <v/>
      </c>
      <c r="H26" s="22" t="str">
        <f t="shared" si="2"/>
        <v/>
      </c>
      <c r="I26" s="22" t="str">
        <f t="shared" si="3"/>
        <v/>
      </c>
      <c r="J26" s="22" t="str">
        <f t="shared" si="4"/>
        <v/>
      </c>
      <c r="K26" s="14"/>
    </row>
    <row r="27" spans="2:11" ht="58">
      <c r="B27" s="22" t="s">
        <v>407</v>
      </c>
      <c r="C27" s="23" t="s">
        <v>305</v>
      </c>
      <c r="D27" s="22" t="s">
        <v>580</v>
      </c>
      <c r="E27" s="22" t="s">
        <v>749</v>
      </c>
      <c r="F27" s="22" t="str">
        <f t="shared" si="0"/>
        <v>Comply</v>
      </c>
      <c r="G27" s="22" t="str">
        <f t="shared" si="1"/>
        <v/>
      </c>
      <c r="H27" s="22" t="str">
        <f t="shared" si="2"/>
        <v/>
      </c>
      <c r="I27" s="22" t="str">
        <f t="shared" si="3"/>
        <v/>
      </c>
      <c r="J27" s="22" t="str">
        <f t="shared" si="4"/>
        <v/>
      </c>
      <c r="K27" s="14"/>
    </row>
    <row r="28" spans="2:11" ht="72.5">
      <c r="B28" s="22" t="s">
        <v>408</v>
      </c>
      <c r="C28" s="23" t="s">
        <v>305</v>
      </c>
      <c r="D28" s="22" t="s">
        <v>580</v>
      </c>
      <c r="E28" s="22" t="s">
        <v>750</v>
      </c>
      <c r="F28" s="22" t="str">
        <f t="shared" si="0"/>
        <v>Comply</v>
      </c>
      <c r="G28" s="22" t="str">
        <f t="shared" si="1"/>
        <v/>
      </c>
      <c r="H28" s="22" t="str">
        <f t="shared" si="2"/>
        <v/>
      </c>
      <c r="I28" s="22" t="str">
        <f t="shared" si="3"/>
        <v/>
      </c>
      <c r="J28" s="22" t="str">
        <f t="shared" si="4"/>
        <v/>
      </c>
      <c r="K28" s="14"/>
    </row>
    <row r="29" spans="2:11" ht="58">
      <c r="B29" s="22" t="s">
        <v>409</v>
      </c>
      <c r="C29" s="23" t="s">
        <v>305</v>
      </c>
      <c r="D29" s="22" t="s">
        <v>580</v>
      </c>
      <c r="E29" s="22" t="s">
        <v>751</v>
      </c>
      <c r="F29" s="22" t="str">
        <f t="shared" si="0"/>
        <v>Comply</v>
      </c>
      <c r="G29" s="22" t="str">
        <f t="shared" si="1"/>
        <v/>
      </c>
      <c r="H29" s="22" t="str">
        <f t="shared" si="2"/>
        <v/>
      </c>
      <c r="I29" s="22" t="str">
        <f t="shared" si="3"/>
        <v/>
      </c>
      <c r="J29" s="22" t="str">
        <f t="shared" si="4"/>
        <v/>
      </c>
      <c r="K29" s="14"/>
    </row>
    <row r="30" spans="2:11" ht="29">
      <c r="B30" s="22" t="s">
        <v>410</v>
      </c>
      <c r="C30" s="23" t="s">
        <v>305</v>
      </c>
      <c r="D30" s="22" t="s">
        <v>578</v>
      </c>
      <c r="E30" s="22" t="s">
        <v>411</v>
      </c>
      <c r="F30" s="22" t="str">
        <f t="shared" si="0"/>
        <v>Comply</v>
      </c>
      <c r="G30" s="22" t="str">
        <f t="shared" si="1"/>
        <v/>
      </c>
      <c r="H30" s="22" t="str">
        <f t="shared" si="2"/>
        <v/>
      </c>
      <c r="I30" s="22" t="str">
        <f t="shared" si="3"/>
        <v/>
      </c>
      <c r="J30" s="22" t="str">
        <f t="shared" si="4"/>
        <v/>
      </c>
      <c r="K30" s="14"/>
    </row>
    <row r="31" spans="2:11" ht="29">
      <c r="B31" s="22" t="s">
        <v>412</v>
      </c>
      <c r="C31" s="23" t="s">
        <v>305</v>
      </c>
      <c r="D31" s="22" t="s">
        <v>578</v>
      </c>
      <c r="E31" s="22" t="s">
        <v>32</v>
      </c>
      <c r="F31" s="22" t="str">
        <f t="shared" si="0"/>
        <v>Comply</v>
      </c>
      <c r="G31" s="22" t="str">
        <f t="shared" si="1"/>
        <v/>
      </c>
      <c r="H31" s="22" t="str">
        <f t="shared" si="2"/>
        <v/>
      </c>
      <c r="I31" s="22" t="str">
        <f t="shared" si="3"/>
        <v/>
      </c>
      <c r="J31" s="22" t="str">
        <f t="shared" si="4"/>
        <v/>
      </c>
      <c r="K31" s="14"/>
    </row>
  </sheetData>
  <conditionalFormatting sqref="C1:C1048576">
    <cfRule type="containsText" dxfId="229" priority="11" operator="containsText" text="Not Applicable">
      <formula>NOT(ISERROR(SEARCH("Not Applicable",C1)))</formula>
    </cfRule>
    <cfRule type="containsText" dxfId="228" priority="12" operator="containsText" text="Applicable">
      <formula>NOT(ISERROR(SEARCH("Applicable",C1)))</formula>
    </cfRule>
  </conditionalFormatting>
  <conditionalFormatting sqref="F4:F50">
    <cfRule type="containsText" dxfId="227" priority="7" operator="containsText" text="Not">
      <formula>NOT(ISERROR(SEARCH("Not",F4)))</formula>
    </cfRule>
    <cfRule type="containsText" dxfId="226" priority="8" operator="containsText" text="Comply">
      <formula>NOT(ISERROR(SEARCH("Comply",F4)))</formula>
    </cfRule>
  </conditionalFormatting>
  <conditionalFormatting sqref="G4:G31">
    <cfRule type="containsText" dxfId="225" priority="4" operator="containsText" text="Gaps to be stated here">
      <formula>NOT(ISERROR(SEARCH("Gaps to be stated here",G4)))</formula>
    </cfRule>
  </conditionalFormatting>
  <conditionalFormatting sqref="H4:H31">
    <cfRule type="containsText" dxfId="224" priority="5" operator="containsText" text="action to be stated here">
      <formula>NOT(ISERROR(SEARCH("action to be stated here",H4)))</formula>
    </cfRule>
  </conditionalFormatting>
  <conditionalFormatting sqref="I4:I31">
    <cfRule type="containsText" dxfId="223" priority="3" operator="containsText" text="Name of PIC to be stated here">
      <formula>NOT(ISERROR(SEARCH("Name of PIC to be stated here",I4)))</formula>
    </cfRule>
  </conditionalFormatting>
  <conditionalFormatting sqref="J4:J31">
    <cfRule type="containsText" dxfId="222" priority="2" operator="containsText" text="action date to be stated here">
      <formula>NOT(ISERROR(SEARCH("action date to be stated here",J4)))</formula>
    </cfRule>
  </conditionalFormatting>
  <conditionalFormatting sqref="K3">
    <cfRule type="expression" dxfId="221" priority="1">
      <formula>$K$2&gt;0</formula>
    </cfRule>
  </conditionalFormatting>
  <conditionalFormatting sqref="K4:K31">
    <cfRule type="expression" dxfId="22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5543CA68-5CC2-4DBC-82FB-F97FF1B53301}">
          <x14:formula1>
            <xm:f>'back-data'!$B$4:$B$6</xm:f>
          </x14:formula1>
          <xm:sqref>D4:D31</xm:sqref>
        </x14:dataValidation>
        <x14:dataValidation type="list" allowBlank="1" showInputMessage="1" showErrorMessage="1" xr:uid="{1C96FDC3-8F25-44E3-85DC-CC84BF25DB71}">
          <x14:formula1>
            <xm:f>'back-data'!$B$13:$B$15</xm:f>
          </x14:formula1>
          <xm:sqref>F4:F31</xm:sqref>
        </x14:dataValidation>
        <x14:dataValidation type="list" allowBlank="1" showInputMessage="1" showErrorMessage="1" xr:uid="{FA8C4121-7F97-48DF-8D28-6FDF1EE46B66}">
          <x14:formula1>
            <xm:f>Action_Tracker_Data!$F$4:$F$13</xm:f>
          </x14:formula1>
          <xm:sqref>K4:K31</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BB623-8AED-44F5-9874-EA0C0A70F4EB}">
  <sheetPr>
    <tabColor rgb="FF024DC2"/>
  </sheetPr>
  <dimension ref="B1:K22"/>
  <sheetViews>
    <sheetView showGridLines="0" showRowColHeaders="0" topLeftCell="D1" zoomScaleNormal="100" workbookViewId="0">
      <selection activeCell="H4" sqref="H4"/>
    </sheetView>
  </sheetViews>
  <sheetFormatPr defaultRowHeight="14.5"/>
  <cols>
    <col min="1" max="1" width="27.81640625" customWidth="1"/>
    <col min="2" max="2" width="40.90625" style="8" customWidth="1"/>
    <col min="3" max="3" width="15" style="8" customWidth="1"/>
    <col min="4" max="5" width="26.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customWidth="1"/>
  </cols>
  <sheetData>
    <row r="1" spans="2:11" ht="16">
      <c r="B1" s="10" t="s">
        <v>431</v>
      </c>
      <c r="F1" s="15"/>
    </row>
    <row r="2" spans="2:11">
      <c r="F2" s="15"/>
      <c r="K2" s="132">
        <f>COUNTIF(F4:F29,"Not Comply")</f>
        <v>0</v>
      </c>
    </row>
    <row r="3" spans="2:11" s="8" customFormat="1" ht="29.5" thickBot="1">
      <c r="B3" s="21" t="s">
        <v>115</v>
      </c>
      <c r="C3" s="21" t="s">
        <v>48</v>
      </c>
      <c r="D3" s="21" t="s">
        <v>57</v>
      </c>
      <c r="E3" s="21" t="s">
        <v>1812</v>
      </c>
      <c r="F3" s="21" t="s">
        <v>1410</v>
      </c>
      <c r="G3" s="21" t="s">
        <v>1845</v>
      </c>
      <c r="H3" s="21" t="s">
        <v>1846</v>
      </c>
      <c r="I3" s="21" t="s">
        <v>1847</v>
      </c>
      <c r="J3" s="21" t="s">
        <v>1848</v>
      </c>
      <c r="K3" s="132" t="s">
        <v>2036</v>
      </c>
    </row>
    <row r="4" spans="2:11" ht="58.5" thickTop="1">
      <c r="B4" s="32" t="s">
        <v>413</v>
      </c>
      <c r="C4" s="29" t="str">
        <f>IF(OR(Home!B271=TRUE,Home!B270=TRUE),"Applicable","Not Applicable")</f>
        <v>Not Applicable</v>
      </c>
      <c r="D4" s="29" t="s">
        <v>580</v>
      </c>
      <c r="E4" s="32" t="s">
        <v>940</v>
      </c>
      <c r="F4" s="22" t="str">
        <f t="shared" ref="F4:F21"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414</v>
      </c>
      <c r="C5" s="23" t="str">
        <f>C4</f>
        <v>Not Applicable</v>
      </c>
      <c r="D5" s="23" t="s">
        <v>580</v>
      </c>
      <c r="E5" s="22" t="s">
        <v>941</v>
      </c>
      <c r="F5" s="22" t="str">
        <f t="shared" si="0"/>
        <v>NA</v>
      </c>
      <c r="G5" s="22" t="str">
        <f t="shared" ref="G5:G21" si="1">IF(F5="not comply","Gaps to be stated here","")</f>
        <v/>
      </c>
      <c r="H5" s="22" t="str">
        <f t="shared" ref="H5:H21" si="2">IF(F5="not comply","action to be stated here","")</f>
        <v/>
      </c>
      <c r="I5" s="22" t="str">
        <f t="shared" ref="I5:I21" si="3">IF(F5="not comply","Name of PIC to be stated here","")</f>
        <v/>
      </c>
      <c r="J5" s="22" t="str">
        <f t="shared" ref="J5:J21" si="4">IF(F5="not comply","action date to be stated here","")</f>
        <v/>
      </c>
      <c r="K5" s="14"/>
    </row>
    <row r="6" spans="2:11" ht="58">
      <c r="B6" s="22" t="s">
        <v>415</v>
      </c>
      <c r="C6" s="23" t="str">
        <f t="shared" ref="C6:C21" si="5">C5</f>
        <v>Not Applicable</v>
      </c>
      <c r="D6" s="23" t="s">
        <v>580</v>
      </c>
      <c r="E6" s="22" t="s">
        <v>942</v>
      </c>
      <c r="F6" s="22" t="str">
        <f t="shared" si="0"/>
        <v>NA</v>
      </c>
      <c r="G6" s="22" t="str">
        <f t="shared" si="1"/>
        <v/>
      </c>
      <c r="H6" s="22" t="str">
        <f t="shared" si="2"/>
        <v/>
      </c>
      <c r="I6" s="22" t="str">
        <f t="shared" si="3"/>
        <v/>
      </c>
      <c r="J6" s="22" t="str">
        <f t="shared" si="4"/>
        <v/>
      </c>
      <c r="K6" s="14"/>
    </row>
    <row r="7" spans="2:11" ht="58">
      <c r="B7" s="22" t="s">
        <v>416</v>
      </c>
      <c r="C7" s="23" t="str">
        <f t="shared" si="5"/>
        <v>Not Applicable</v>
      </c>
      <c r="D7" s="23" t="s">
        <v>580</v>
      </c>
      <c r="E7" s="22" t="s">
        <v>943</v>
      </c>
      <c r="F7" s="22" t="str">
        <f t="shared" si="0"/>
        <v>NA</v>
      </c>
      <c r="G7" s="22" t="str">
        <f t="shared" si="1"/>
        <v/>
      </c>
      <c r="H7" s="22" t="str">
        <f t="shared" si="2"/>
        <v/>
      </c>
      <c r="I7" s="22" t="str">
        <f t="shared" si="3"/>
        <v/>
      </c>
      <c r="J7" s="22" t="str">
        <f t="shared" si="4"/>
        <v/>
      </c>
      <c r="K7" s="14"/>
    </row>
    <row r="8" spans="2:11" ht="58">
      <c r="B8" s="22" t="s">
        <v>417</v>
      </c>
      <c r="C8" s="23" t="str">
        <f t="shared" si="5"/>
        <v>Not Applicable</v>
      </c>
      <c r="D8" s="23" t="s">
        <v>580</v>
      </c>
      <c r="E8" s="22" t="s">
        <v>944</v>
      </c>
      <c r="F8" s="22" t="str">
        <f t="shared" si="0"/>
        <v>NA</v>
      </c>
      <c r="G8" s="22" t="str">
        <f t="shared" si="1"/>
        <v/>
      </c>
      <c r="H8" s="22" t="str">
        <f t="shared" si="2"/>
        <v/>
      </c>
      <c r="I8" s="22" t="str">
        <f t="shared" si="3"/>
        <v/>
      </c>
      <c r="J8" s="22" t="str">
        <f t="shared" si="4"/>
        <v/>
      </c>
      <c r="K8" s="14"/>
    </row>
    <row r="9" spans="2:11" ht="58">
      <c r="B9" s="22" t="s">
        <v>418</v>
      </c>
      <c r="C9" s="23" t="str">
        <f t="shared" si="5"/>
        <v>Not Applicable</v>
      </c>
      <c r="D9" s="23" t="s">
        <v>580</v>
      </c>
      <c r="E9" s="22" t="s">
        <v>945</v>
      </c>
      <c r="F9" s="22" t="str">
        <f t="shared" si="0"/>
        <v>NA</v>
      </c>
      <c r="G9" s="22" t="str">
        <f t="shared" si="1"/>
        <v/>
      </c>
      <c r="H9" s="22" t="str">
        <f t="shared" si="2"/>
        <v/>
      </c>
      <c r="I9" s="22" t="str">
        <f t="shared" si="3"/>
        <v/>
      </c>
      <c r="J9" s="22" t="str">
        <f t="shared" si="4"/>
        <v/>
      </c>
      <c r="K9" s="14"/>
    </row>
    <row r="10" spans="2:11" ht="58">
      <c r="B10" s="22" t="s">
        <v>419</v>
      </c>
      <c r="C10" s="23" t="str">
        <f t="shared" si="5"/>
        <v>Not Applicable</v>
      </c>
      <c r="D10" s="23" t="s">
        <v>580</v>
      </c>
      <c r="E10" s="22" t="s">
        <v>946</v>
      </c>
      <c r="F10" s="22" t="str">
        <f t="shared" si="0"/>
        <v>NA</v>
      </c>
      <c r="G10" s="22" t="str">
        <f t="shared" si="1"/>
        <v/>
      </c>
      <c r="H10" s="22" t="str">
        <f t="shared" si="2"/>
        <v/>
      </c>
      <c r="I10" s="22" t="str">
        <f t="shared" si="3"/>
        <v/>
      </c>
      <c r="J10" s="22" t="str">
        <f t="shared" si="4"/>
        <v/>
      </c>
      <c r="K10" s="14"/>
    </row>
    <row r="11" spans="2:11" ht="58">
      <c r="B11" s="22" t="s">
        <v>420</v>
      </c>
      <c r="C11" s="23" t="str">
        <f t="shared" si="5"/>
        <v>Not Applicable</v>
      </c>
      <c r="D11" s="23" t="s">
        <v>580</v>
      </c>
      <c r="E11" s="22" t="s">
        <v>947</v>
      </c>
      <c r="F11" s="22" t="str">
        <f t="shared" si="0"/>
        <v>NA</v>
      </c>
      <c r="G11" s="22" t="str">
        <f t="shared" si="1"/>
        <v/>
      </c>
      <c r="H11" s="22" t="str">
        <f t="shared" si="2"/>
        <v/>
      </c>
      <c r="I11" s="22" t="str">
        <f t="shared" si="3"/>
        <v/>
      </c>
      <c r="J11" s="22" t="str">
        <f t="shared" si="4"/>
        <v/>
      </c>
      <c r="K11" s="14"/>
    </row>
    <row r="12" spans="2:11" ht="58">
      <c r="B12" s="22" t="s">
        <v>421</v>
      </c>
      <c r="C12" s="23" t="str">
        <f t="shared" si="5"/>
        <v>Not Applicable</v>
      </c>
      <c r="D12" s="23" t="s">
        <v>580</v>
      </c>
      <c r="E12" s="22" t="s">
        <v>948</v>
      </c>
      <c r="F12" s="22" t="str">
        <f t="shared" si="0"/>
        <v>NA</v>
      </c>
      <c r="G12" s="22" t="str">
        <f t="shared" si="1"/>
        <v/>
      </c>
      <c r="H12" s="22" t="str">
        <f t="shared" si="2"/>
        <v/>
      </c>
      <c r="I12" s="22" t="str">
        <f t="shared" si="3"/>
        <v/>
      </c>
      <c r="J12" s="22" t="str">
        <f t="shared" si="4"/>
        <v/>
      </c>
      <c r="K12" s="14"/>
    </row>
    <row r="13" spans="2:11" ht="58">
      <c r="B13" s="22" t="s">
        <v>422</v>
      </c>
      <c r="C13" s="23" t="str">
        <f t="shared" si="5"/>
        <v>Not Applicable</v>
      </c>
      <c r="D13" s="23" t="s">
        <v>580</v>
      </c>
      <c r="E13" s="22" t="s">
        <v>949</v>
      </c>
      <c r="F13" s="22" t="str">
        <f t="shared" si="0"/>
        <v>NA</v>
      </c>
      <c r="G13" s="22" t="str">
        <f t="shared" si="1"/>
        <v/>
      </c>
      <c r="H13" s="22" t="str">
        <f t="shared" si="2"/>
        <v/>
      </c>
      <c r="I13" s="22" t="str">
        <f t="shared" si="3"/>
        <v/>
      </c>
      <c r="J13" s="22" t="str">
        <f t="shared" si="4"/>
        <v/>
      </c>
      <c r="K13" s="14"/>
    </row>
    <row r="14" spans="2:11" ht="58">
      <c r="B14" s="22" t="s">
        <v>423</v>
      </c>
      <c r="C14" s="23" t="str">
        <f t="shared" si="5"/>
        <v>Not Applicable</v>
      </c>
      <c r="D14" s="23" t="s">
        <v>580</v>
      </c>
      <c r="E14" s="22" t="s">
        <v>950</v>
      </c>
      <c r="F14" s="22" t="str">
        <f t="shared" si="0"/>
        <v>NA</v>
      </c>
      <c r="G14" s="22" t="str">
        <f t="shared" si="1"/>
        <v/>
      </c>
      <c r="H14" s="22" t="str">
        <f t="shared" si="2"/>
        <v/>
      </c>
      <c r="I14" s="22" t="str">
        <f t="shared" si="3"/>
        <v/>
      </c>
      <c r="J14" s="22" t="str">
        <f t="shared" si="4"/>
        <v/>
      </c>
      <c r="K14" s="14"/>
    </row>
    <row r="15" spans="2:11" ht="43.5">
      <c r="B15" s="22" t="s">
        <v>424</v>
      </c>
      <c r="C15" s="23" t="str">
        <f t="shared" si="5"/>
        <v>Not Applicable</v>
      </c>
      <c r="D15" s="23" t="s">
        <v>578</v>
      </c>
      <c r="E15" s="22" t="s">
        <v>951</v>
      </c>
      <c r="F15" s="22" t="str">
        <f t="shared" si="0"/>
        <v>NA</v>
      </c>
      <c r="G15" s="22" t="str">
        <f t="shared" si="1"/>
        <v/>
      </c>
      <c r="H15" s="22" t="str">
        <f t="shared" si="2"/>
        <v/>
      </c>
      <c r="I15" s="22" t="str">
        <f t="shared" si="3"/>
        <v/>
      </c>
      <c r="J15" s="22" t="str">
        <f t="shared" si="4"/>
        <v/>
      </c>
      <c r="K15" s="14"/>
    </row>
    <row r="16" spans="2:11" ht="43.5">
      <c r="B16" s="22" t="s">
        <v>426</v>
      </c>
      <c r="C16" s="23" t="str">
        <f t="shared" si="5"/>
        <v>Not Applicable</v>
      </c>
      <c r="D16" s="23" t="s">
        <v>578</v>
      </c>
      <c r="E16" s="22" t="s">
        <v>952</v>
      </c>
      <c r="F16" s="22" t="str">
        <f t="shared" si="0"/>
        <v>NA</v>
      </c>
      <c r="G16" s="22" t="str">
        <f t="shared" si="1"/>
        <v/>
      </c>
      <c r="H16" s="22" t="str">
        <f t="shared" si="2"/>
        <v/>
      </c>
      <c r="I16" s="22" t="str">
        <f t="shared" si="3"/>
        <v/>
      </c>
      <c r="J16" s="22" t="str">
        <f t="shared" si="4"/>
        <v/>
      </c>
      <c r="K16" s="14"/>
    </row>
    <row r="17" spans="2:11" ht="43.5">
      <c r="B17" s="22" t="s">
        <v>427</v>
      </c>
      <c r="C17" s="23" t="str">
        <f t="shared" si="5"/>
        <v>Not Applicable</v>
      </c>
      <c r="D17" s="23" t="s">
        <v>578</v>
      </c>
      <c r="E17" s="22" t="s">
        <v>953</v>
      </c>
      <c r="F17" s="22" t="str">
        <f t="shared" si="0"/>
        <v>NA</v>
      </c>
      <c r="G17" s="22" t="str">
        <f t="shared" si="1"/>
        <v/>
      </c>
      <c r="H17" s="22" t="str">
        <f t="shared" si="2"/>
        <v/>
      </c>
      <c r="I17" s="22" t="str">
        <f t="shared" si="3"/>
        <v/>
      </c>
      <c r="J17" s="22" t="str">
        <f t="shared" si="4"/>
        <v/>
      </c>
      <c r="K17" s="14"/>
    </row>
    <row r="18" spans="2:11" ht="43.5">
      <c r="B18" s="22" t="s">
        <v>1346</v>
      </c>
      <c r="C18" s="23" t="str">
        <f t="shared" si="5"/>
        <v>Not Applicable</v>
      </c>
      <c r="D18" s="23" t="s">
        <v>580</v>
      </c>
      <c r="E18" s="22" t="s">
        <v>954</v>
      </c>
      <c r="F18" s="22" t="str">
        <f t="shared" si="0"/>
        <v>NA</v>
      </c>
      <c r="G18" s="22" t="str">
        <f t="shared" si="1"/>
        <v/>
      </c>
      <c r="H18" s="22" t="str">
        <f t="shared" si="2"/>
        <v/>
      </c>
      <c r="I18" s="22" t="str">
        <f t="shared" si="3"/>
        <v/>
      </c>
      <c r="J18" s="22" t="str">
        <f t="shared" si="4"/>
        <v/>
      </c>
      <c r="K18" s="14"/>
    </row>
    <row r="19" spans="2:11" ht="58">
      <c r="B19" s="22" t="s">
        <v>428</v>
      </c>
      <c r="C19" s="23" t="str">
        <f t="shared" si="5"/>
        <v>Not Applicable</v>
      </c>
      <c r="D19" s="23" t="s">
        <v>580</v>
      </c>
      <c r="E19" s="22" t="s">
        <v>955</v>
      </c>
      <c r="F19" s="22" t="str">
        <f t="shared" si="0"/>
        <v>NA</v>
      </c>
      <c r="G19" s="22" t="str">
        <f t="shared" si="1"/>
        <v/>
      </c>
      <c r="H19" s="22" t="str">
        <f t="shared" si="2"/>
        <v/>
      </c>
      <c r="I19" s="22" t="str">
        <f t="shared" si="3"/>
        <v/>
      </c>
      <c r="J19" s="22" t="str">
        <f t="shared" si="4"/>
        <v/>
      </c>
      <c r="K19" s="14"/>
    </row>
    <row r="20" spans="2:11" ht="58">
      <c r="B20" s="22" t="s">
        <v>429</v>
      </c>
      <c r="C20" s="23" t="str">
        <f t="shared" si="5"/>
        <v>Not Applicable</v>
      </c>
      <c r="D20" s="23" t="s">
        <v>578</v>
      </c>
      <c r="E20" s="22" t="s">
        <v>956</v>
      </c>
      <c r="F20" s="22" t="str">
        <f t="shared" si="0"/>
        <v>NA</v>
      </c>
      <c r="G20" s="22" t="str">
        <f t="shared" si="1"/>
        <v/>
      </c>
      <c r="H20" s="22" t="str">
        <f t="shared" si="2"/>
        <v/>
      </c>
      <c r="I20" s="22" t="str">
        <f t="shared" si="3"/>
        <v/>
      </c>
      <c r="J20" s="22" t="str">
        <f t="shared" si="4"/>
        <v/>
      </c>
      <c r="K20" s="14"/>
    </row>
    <row r="21" spans="2:11" ht="58">
      <c r="B21" s="22" t="s">
        <v>430</v>
      </c>
      <c r="C21" s="23" t="str">
        <f t="shared" si="5"/>
        <v>Not Applicable</v>
      </c>
      <c r="D21" s="23" t="s">
        <v>578</v>
      </c>
      <c r="E21" s="22" t="s">
        <v>957</v>
      </c>
      <c r="F21" s="22" t="str">
        <f t="shared" si="0"/>
        <v>NA</v>
      </c>
      <c r="G21" s="22" t="str">
        <f t="shared" si="1"/>
        <v/>
      </c>
      <c r="H21" s="22" t="str">
        <f t="shared" si="2"/>
        <v/>
      </c>
      <c r="I21" s="22" t="str">
        <f t="shared" si="3"/>
        <v/>
      </c>
      <c r="J21" s="22" t="str">
        <f t="shared" si="4"/>
        <v/>
      </c>
      <c r="K21" s="14"/>
    </row>
    <row r="22" spans="2:11">
      <c r="B22" s="27"/>
      <c r="C22" s="27"/>
      <c r="D22" s="27"/>
      <c r="E22" s="27"/>
    </row>
  </sheetData>
  <conditionalFormatting sqref="C1:C1048576">
    <cfRule type="containsText" dxfId="219" priority="11" operator="containsText" text="Not Applicable">
      <formula>NOT(ISERROR(SEARCH("Not Applicable",C1)))</formula>
    </cfRule>
    <cfRule type="containsText" dxfId="218" priority="12" operator="containsText" text="Applicable">
      <formula>NOT(ISERROR(SEARCH("Applicable",C1)))</formula>
    </cfRule>
  </conditionalFormatting>
  <conditionalFormatting sqref="F4:F50">
    <cfRule type="containsText" dxfId="217" priority="7" operator="containsText" text="Not">
      <formula>NOT(ISERROR(SEARCH("Not",F4)))</formula>
    </cfRule>
    <cfRule type="containsText" dxfId="216" priority="8" operator="containsText" text="Comply">
      <formula>NOT(ISERROR(SEARCH("Comply",F4)))</formula>
    </cfRule>
  </conditionalFormatting>
  <conditionalFormatting sqref="G4:G21">
    <cfRule type="containsText" dxfId="215" priority="4" operator="containsText" text="Gaps to be stated here">
      <formula>NOT(ISERROR(SEARCH("Gaps to be stated here",G4)))</formula>
    </cfRule>
  </conditionalFormatting>
  <conditionalFormatting sqref="H4:H21">
    <cfRule type="containsText" dxfId="214" priority="5" operator="containsText" text="action to be stated here">
      <formula>NOT(ISERROR(SEARCH("action to be stated here",H4)))</formula>
    </cfRule>
  </conditionalFormatting>
  <conditionalFormatting sqref="I4:I21">
    <cfRule type="containsText" dxfId="213" priority="3" operator="containsText" text="Name of PIC to be stated here">
      <formula>NOT(ISERROR(SEARCH("Name of PIC to be stated here",I4)))</formula>
    </cfRule>
  </conditionalFormatting>
  <conditionalFormatting sqref="J4:J21">
    <cfRule type="containsText" dxfId="212" priority="2" operator="containsText" text="action date to be stated here">
      <formula>NOT(ISERROR(SEARCH("action date to be stated here",J4)))</formula>
    </cfRule>
  </conditionalFormatting>
  <conditionalFormatting sqref="K3">
    <cfRule type="expression" dxfId="211" priority="1">
      <formula>$K$2&gt;0</formula>
    </cfRule>
  </conditionalFormatting>
  <conditionalFormatting sqref="K4:K21">
    <cfRule type="expression" dxfId="210" priority="6">
      <formula>$K$2&gt;0</formula>
    </cfRule>
  </conditionalFormatting>
  <pageMargins left="0.7" right="0.7" top="0.75" bottom="0.75" header="0.3" footer="0.3"/>
  <pageSetup orientation="portrait" horizontalDpi="4294967293" verticalDpi="0"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4C7096E3-2303-426A-8A41-95CD5F0C9845}">
          <x14:formula1>
            <xm:f>'back-data'!$B$4:$B$6</xm:f>
          </x14:formula1>
          <xm:sqref>D4:D21</xm:sqref>
        </x14:dataValidation>
        <x14:dataValidation type="list" allowBlank="1" showInputMessage="1" showErrorMessage="1" xr:uid="{AE4CA973-2711-46AB-BDB3-BAED0DE6AA8E}">
          <x14:formula1>
            <xm:f>'back-data'!$B$13:$B$15</xm:f>
          </x14:formula1>
          <xm:sqref>F4:F21</xm:sqref>
        </x14:dataValidation>
        <x14:dataValidation type="list" allowBlank="1" showInputMessage="1" showErrorMessage="1" xr:uid="{4900E2E5-51BE-47E1-8F4D-646EA7526763}">
          <x14:formula1>
            <xm:f>Action_Tracker_Data!$G$4:$G$13</xm:f>
          </x14:formula1>
          <xm:sqref>K4:K21</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A6C07-DD4F-47CD-8858-10A6FAF9867A}">
  <sheetPr>
    <tabColor rgb="FF006E3C"/>
  </sheetPr>
  <dimension ref="B1:K16"/>
  <sheetViews>
    <sheetView showGridLines="0" showRowColHeaders="0" zoomScaleNormal="100" workbookViewId="0"/>
  </sheetViews>
  <sheetFormatPr defaultRowHeight="14.5"/>
  <cols>
    <col min="1" max="1" width="27.81640625" style="8" customWidth="1"/>
    <col min="2" max="2" width="42.453125" style="8" customWidth="1"/>
    <col min="3" max="3" width="16" style="8" customWidth="1"/>
    <col min="4" max="4" width="23.36328125" style="8" customWidth="1"/>
    <col min="5" max="5" width="27.63281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298</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22" t="s">
        <v>191</v>
      </c>
      <c r="C4" s="23" t="str">
        <f>IF(OR(Home!B264=TRUE,Home!B265=TRUE,Home!B281=TRUE,Home!B287=TRUE,Home!B293=TRUE),"Applicable","Not Applicable")</f>
        <v>Not Applicable</v>
      </c>
      <c r="D4" s="22" t="s">
        <v>580</v>
      </c>
      <c r="E4" s="22" t="s">
        <v>824</v>
      </c>
      <c r="F4" s="22" t="str">
        <f t="shared" ref="F4:F16"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192</v>
      </c>
      <c r="C5" s="23" t="str">
        <f>C4</f>
        <v>Not Applicable</v>
      </c>
      <c r="D5" s="22" t="s">
        <v>580</v>
      </c>
      <c r="E5" s="22" t="s">
        <v>825</v>
      </c>
      <c r="F5" s="22" t="str">
        <f t="shared" si="0"/>
        <v>NA</v>
      </c>
      <c r="G5" s="22" t="str">
        <f t="shared" ref="G5:G16" si="1">IF(F5="not comply","Gaps to be stated here","")</f>
        <v/>
      </c>
      <c r="H5" s="22" t="str">
        <f t="shared" ref="H5:H16" si="2">IF(F5="not comply","action to be stated here","")</f>
        <v/>
      </c>
      <c r="I5" s="22" t="str">
        <f t="shared" ref="I5:I16" si="3">IF(F5="not comply","Name of PIC to be stated here","")</f>
        <v/>
      </c>
      <c r="J5" s="22" t="str">
        <f t="shared" ref="J5:J16" si="4">IF(F5="not comply","action date to be stated here","")</f>
        <v/>
      </c>
      <c r="K5" s="14"/>
    </row>
    <row r="6" spans="2:11" ht="43.5">
      <c r="B6" s="22" t="s">
        <v>193</v>
      </c>
      <c r="C6" s="23" t="str">
        <f t="shared" ref="C6:C16" si="5">C5</f>
        <v>Not Applicable</v>
      </c>
      <c r="D6" s="22" t="s">
        <v>580</v>
      </c>
      <c r="E6" s="22" t="s">
        <v>36</v>
      </c>
      <c r="F6" s="22" t="str">
        <f t="shared" si="0"/>
        <v>NA</v>
      </c>
      <c r="G6" s="22" t="str">
        <f t="shared" si="1"/>
        <v/>
      </c>
      <c r="H6" s="22" t="str">
        <f t="shared" si="2"/>
        <v/>
      </c>
      <c r="I6" s="22" t="str">
        <f t="shared" si="3"/>
        <v/>
      </c>
      <c r="J6" s="22" t="str">
        <f t="shared" si="4"/>
        <v/>
      </c>
      <c r="K6" s="14"/>
    </row>
    <row r="7" spans="2:11" ht="43.5">
      <c r="B7" s="22" t="s">
        <v>194</v>
      </c>
      <c r="C7" s="23" t="str">
        <f t="shared" si="5"/>
        <v>Not Applicable</v>
      </c>
      <c r="D7" s="22" t="s">
        <v>580</v>
      </c>
      <c r="E7" s="22" t="s">
        <v>826</v>
      </c>
      <c r="F7" s="22" t="str">
        <f t="shared" si="0"/>
        <v>NA</v>
      </c>
      <c r="G7" s="22" t="str">
        <f t="shared" si="1"/>
        <v/>
      </c>
      <c r="H7" s="22" t="str">
        <f t="shared" si="2"/>
        <v/>
      </c>
      <c r="I7" s="22" t="str">
        <f t="shared" si="3"/>
        <v/>
      </c>
      <c r="J7" s="22" t="str">
        <f t="shared" si="4"/>
        <v/>
      </c>
      <c r="K7" s="14"/>
    </row>
    <row r="8" spans="2:11" ht="58">
      <c r="B8" s="22" t="s">
        <v>195</v>
      </c>
      <c r="C8" s="23" t="str">
        <f t="shared" si="5"/>
        <v>Not Applicable</v>
      </c>
      <c r="D8" s="22" t="s">
        <v>580</v>
      </c>
      <c r="E8" s="22" t="s">
        <v>827</v>
      </c>
      <c r="F8" s="22" t="str">
        <f t="shared" si="0"/>
        <v>NA</v>
      </c>
      <c r="G8" s="22" t="str">
        <f t="shared" si="1"/>
        <v/>
      </c>
      <c r="H8" s="22" t="str">
        <f t="shared" si="2"/>
        <v/>
      </c>
      <c r="I8" s="22" t="str">
        <f t="shared" si="3"/>
        <v/>
      </c>
      <c r="J8" s="22" t="str">
        <f t="shared" si="4"/>
        <v/>
      </c>
      <c r="K8" s="14"/>
    </row>
    <row r="9" spans="2:11" ht="43.5">
      <c r="B9" s="22" t="s">
        <v>196</v>
      </c>
      <c r="C9" s="23" t="str">
        <f t="shared" si="5"/>
        <v>Not Applicable</v>
      </c>
      <c r="D9" s="22" t="s">
        <v>580</v>
      </c>
      <c r="E9" s="22" t="s">
        <v>828</v>
      </c>
      <c r="F9" s="22" t="str">
        <f t="shared" si="0"/>
        <v>NA</v>
      </c>
      <c r="G9" s="22" t="str">
        <f t="shared" si="1"/>
        <v/>
      </c>
      <c r="H9" s="22" t="str">
        <f t="shared" si="2"/>
        <v/>
      </c>
      <c r="I9" s="22" t="str">
        <f t="shared" si="3"/>
        <v/>
      </c>
      <c r="J9" s="22" t="str">
        <f t="shared" si="4"/>
        <v/>
      </c>
      <c r="K9" s="14"/>
    </row>
    <row r="10" spans="2:11" ht="43.5">
      <c r="B10" s="22" t="s">
        <v>197</v>
      </c>
      <c r="C10" s="23" t="str">
        <f t="shared" si="5"/>
        <v>Not Applicable</v>
      </c>
      <c r="D10" s="22" t="s">
        <v>580</v>
      </c>
      <c r="E10" s="22" t="s">
        <v>55</v>
      </c>
      <c r="F10" s="22" t="str">
        <f t="shared" si="0"/>
        <v>NA</v>
      </c>
      <c r="G10" s="22" t="str">
        <f t="shared" si="1"/>
        <v/>
      </c>
      <c r="H10" s="22" t="str">
        <f t="shared" si="2"/>
        <v/>
      </c>
      <c r="I10" s="22" t="str">
        <f t="shared" si="3"/>
        <v/>
      </c>
      <c r="J10" s="22" t="str">
        <f t="shared" si="4"/>
        <v/>
      </c>
      <c r="K10" s="14"/>
    </row>
    <row r="11" spans="2:11" ht="29">
      <c r="B11" s="22" t="s">
        <v>198</v>
      </c>
      <c r="C11" s="23" t="str">
        <f t="shared" si="5"/>
        <v>Not Applicable</v>
      </c>
      <c r="D11" s="22" t="s">
        <v>578</v>
      </c>
      <c r="E11" s="22" t="s">
        <v>32</v>
      </c>
      <c r="F11" s="22" t="str">
        <f t="shared" si="0"/>
        <v>NA</v>
      </c>
      <c r="G11" s="22" t="str">
        <f t="shared" si="1"/>
        <v/>
      </c>
      <c r="H11" s="22" t="str">
        <f t="shared" si="2"/>
        <v/>
      </c>
      <c r="I11" s="22" t="str">
        <f t="shared" si="3"/>
        <v/>
      </c>
      <c r="J11" s="22" t="str">
        <f t="shared" si="4"/>
        <v/>
      </c>
      <c r="K11" s="14"/>
    </row>
    <row r="12" spans="2:11" ht="43.5">
      <c r="B12" s="22" t="s">
        <v>199</v>
      </c>
      <c r="C12" s="23" t="str">
        <f t="shared" si="5"/>
        <v>Not Applicable</v>
      </c>
      <c r="D12" s="22" t="s">
        <v>580</v>
      </c>
      <c r="E12" s="22" t="s">
        <v>829</v>
      </c>
      <c r="F12" s="22" t="str">
        <f t="shared" si="0"/>
        <v>NA</v>
      </c>
      <c r="G12" s="22" t="str">
        <f t="shared" si="1"/>
        <v/>
      </c>
      <c r="H12" s="22" t="str">
        <f t="shared" si="2"/>
        <v/>
      </c>
      <c r="I12" s="22" t="str">
        <f t="shared" si="3"/>
        <v/>
      </c>
      <c r="J12" s="22" t="str">
        <f t="shared" si="4"/>
        <v/>
      </c>
      <c r="K12" s="14"/>
    </row>
    <row r="13" spans="2:11" ht="43.5">
      <c r="B13" s="22" t="s">
        <v>200</v>
      </c>
      <c r="C13" s="23" t="str">
        <f t="shared" si="5"/>
        <v>Not Applicable</v>
      </c>
      <c r="D13" s="22" t="s">
        <v>580</v>
      </c>
      <c r="E13" s="22" t="s">
        <v>830</v>
      </c>
      <c r="F13" s="22" t="str">
        <f t="shared" si="0"/>
        <v>NA</v>
      </c>
      <c r="G13" s="22" t="str">
        <f t="shared" si="1"/>
        <v/>
      </c>
      <c r="H13" s="22" t="str">
        <f t="shared" si="2"/>
        <v/>
      </c>
      <c r="I13" s="22" t="str">
        <f t="shared" si="3"/>
        <v/>
      </c>
      <c r="J13" s="22" t="str">
        <f t="shared" si="4"/>
        <v/>
      </c>
      <c r="K13" s="14"/>
    </row>
    <row r="14" spans="2:11" ht="43.5">
      <c r="B14" s="22" t="s">
        <v>201</v>
      </c>
      <c r="C14" s="23" t="str">
        <f t="shared" si="5"/>
        <v>Not Applicable</v>
      </c>
      <c r="D14" s="22" t="s">
        <v>580</v>
      </c>
      <c r="E14" s="22" t="s">
        <v>36</v>
      </c>
      <c r="F14" s="22" t="str">
        <f t="shared" si="0"/>
        <v>NA</v>
      </c>
      <c r="G14" s="22" t="str">
        <f t="shared" si="1"/>
        <v/>
      </c>
      <c r="H14" s="22" t="str">
        <f t="shared" si="2"/>
        <v/>
      </c>
      <c r="I14" s="22" t="str">
        <f t="shared" si="3"/>
        <v/>
      </c>
      <c r="J14" s="22" t="str">
        <f t="shared" si="4"/>
        <v/>
      </c>
      <c r="K14" s="14"/>
    </row>
    <row r="15" spans="2:11" ht="58">
      <c r="B15" s="22" t="s">
        <v>202</v>
      </c>
      <c r="C15" s="23" t="str">
        <f t="shared" si="5"/>
        <v>Not Applicable</v>
      </c>
      <c r="D15" s="22" t="s">
        <v>580</v>
      </c>
      <c r="E15" s="22" t="s">
        <v>831</v>
      </c>
      <c r="F15" s="22" t="str">
        <f t="shared" si="0"/>
        <v>NA</v>
      </c>
      <c r="G15" s="22" t="str">
        <f t="shared" si="1"/>
        <v/>
      </c>
      <c r="H15" s="22" t="str">
        <f t="shared" si="2"/>
        <v/>
      </c>
      <c r="I15" s="22" t="str">
        <f t="shared" si="3"/>
        <v/>
      </c>
      <c r="J15" s="22" t="str">
        <f t="shared" si="4"/>
        <v/>
      </c>
      <c r="K15" s="14"/>
    </row>
    <row r="16" spans="2:11" ht="29">
      <c r="B16" s="22" t="s">
        <v>203</v>
      </c>
      <c r="C16" s="23" t="str">
        <f t="shared" si="5"/>
        <v>Not Applicable</v>
      </c>
      <c r="D16" s="22" t="s">
        <v>578</v>
      </c>
      <c r="E16" s="22" t="s">
        <v>42</v>
      </c>
      <c r="F16" s="22" t="str">
        <f t="shared" si="0"/>
        <v>NA</v>
      </c>
      <c r="G16" s="22" t="str">
        <f t="shared" si="1"/>
        <v/>
      </c>
      <c r="H16" s="22" t="str">
        <f t="shared" si="2"/>
        <v/>
      </c>
      <c r="I16" s="22" t="str">
        <f t="shared" si="3"/>
        <v/>
      </c>
      <c r="J16" s="22" t="str">
        <f t="shared" si="4"/>
        <v/>
      </c>
      <c r="K16" s="14"/>
    </row>
  </sheetData>
  <conditionalFormatting sqref="C4:C70">
    <cfRule type="containsText" dxfId="209" priority="11" operator="containsText" text="Not Applicable">
      <formula>NOT(ISERROR(SEARCH("Not Applicable",C4)))</formula>
    </cfRule>
    <cfRule type="containsText" dxfId="208" priority="12" operator="containsText" text="Applicable">
      <formula>NOT(ISERROR(SEARCH("Applicable",C4)))</formula>
    </cfRule>
  </conditionalFormatting>
  <conditionalFormatting sqref="F4:F50">
    <cfRule type="containsText" dxfId="207" priority="7" operator="containsText" text="Not">
      <formula>NOT(ISERROR(SEARCH("Not",F4)))</formula>
    </cfRule>
    <cfRule type="containsText" dxfId="206" priority="8" operator="containsText" text="Comply">
      <formula>NOT(ISERROR(SEARCH("Comply",F4)))</formula>
    </cfRule>
  </conditionalFormatting>
  <conditionalFormatting sqref="G4:G16">
    <cfRule type="containsText" dxfId="205" priority="4" operator="containsText" text="Gaps to be stated here">
      <formula>NOT(ISERROR(SEARCH("Gaps to be stated here",G4)))</formula>
    </cfRule>
  </conditionalFormatting>
  <conditionalFormatting sqref="H4:H16">
    <cfRule type="containsText" dxfId="204" priority="5" operator="containsText" text="action to be stated here">
      <formula>NOT(ISERROR(SEARCH("action to be stated here",H4)))</formula>
    </cfRule>
  </conditionalFormatting>
  <conditionalFormatting sqref="I4:I16">
    <cfRule type="containsText" dxfId="203" priority="3" operator="containsText" text="Name of PIC to be stated here">
      <formula>NOT(ISERROR(SEARCH("Name of PIC to be stated here",I4)))</formula>
    </cfRule>
  </conditionalFormatting>
  <conditionalFormatting sqref="J4:J16">
    <cfRule type="containsText" dxfId="202" priority="2" operator="containsText" text="action date to be stated here">
      <formula>NOT(ISERROR(SEARCH("action date to be stated here",J4)))</formula>
    </cfRule>
  </conditionalFormatting>
  <conditionalFormatting sqref="K3">
    <cfRule type="expression" dxfId="201" priority="1">
      <formula>$K$2&gt;0</formula>
    </cfRule>
  </conditionalFormatting>
  <conditionalFormatting sqref="K4:K16">
    <cfRule type="expression" dxfId="20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BC5B037-14B5-4ACF-81AB-0D734C93E444}">
          <x14:formula1>
            <xm:f>'back-data'!$B$4:$B$6</xm:f>
          </x14:formula1>
          <xm:sqref>D4:D16</xm:sqref>
        </x14:dataValidation>
        <x14:dataValidation type="list" allowBlank="1" showInputMessage="1" showErrorMessage="1" xr:uid="{2DE9BFF7-C6FA-4730-AA78-15D4BE4E3623}">
          <x14:formula1>
            <xm:f>'back-data'!$B$13:$B$15</xm:f>
          </x14:formula1>
          <xm:sqref>F4:F16</xm:sqref>
        </x14:dataValidation>
        <x14:dataValidation type="list" allowBlank="1" showInputMessage="1" showErrorMessage="1" xr:uid="{8846F9D7-FE07-41D1-BA61-57AA862B373B}">
          <x14:formula1>
            <xm:f>Action_Tracker_Data!$H$4:$H$13</xm:f>
          </x14:formula1>
          <xm:sqref>K4:K16</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57B65-456B-4B8E-AA37-C3C38B29ADAB}">
  <sheetPr>
    <tabColor rgb="FF006E3C"/>
  </sheetPr>
  <dimension ref="B1:K18"/>
  <sheetViews>
    <sheetView showGridLines="0" showRowColHeaders="0" topLeftCell="E14" zoomScaleNormal="100" workbookViewId="0">
      <selection activeCell="H21" sqref="H21"/>
    </sheetView>
  </sheetViews>
  <sheetFormatPr defaultRowHeight="14.5"/>
  <cols>
    <col min="1" max="1" width="27.81640625" style="14" customWidth="1"/>
    <col min="2" max="2" width="48.1796875" style="14" customWidth="1"/>
    <col min="3" max="3" width="13.81640625" style="14" customWidth="1"/>
    <col min="4" max="4" width="22.81640625" style="14" customWidth="1"/>
    <col min="5" max="5" width="27.6328125" style="14"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14" customWidth="1"/>
    <col min="12" max="16384" width="8.7265625" style="14"/>
  </cols>
  <sheetData>
    <row r="1" spans="2:11" s="15" customFormat="1" ht="16">
      <c r="B1" s="34" t="s">
        <v>297</v>
      </c>
      <c r="G1" s="8"/>
      <c r="H1" s="8"/>
      <c r="I1" s="8"/>
      <c r="J1" s="8"/>
    </row>
    <row r="2" spans="2:11" s="15" customFormat="1">
      <c r="G2" s="8"/>
      <c r="H2" s="8"/>
      <c r="I2" s="8"/>
      <c r="J2" s="8"/>
      <c r="K2" s="132">
        <f>COUNTIF(F4:F29,"Not Comply")</f>
        <v>0</v>
      </c>
    </row>
    <row r="3" spans="2:11" ht="29.5" thickBot="1">
      <c r="B3" s="21" t="s">
        <v>115</v>
      </c>
      <c r="C3" s="21" t="s">
        <v>48</v>
      </c>
      <c r="D3" s="21" t="s">
        <v>57</v>
      </c>
      <c r="E3" s="21" t="s">
        <v>1812</v>
      </c>
      <c r="F3" s="21" t="s">
        <v>1410</v>
      </c>
      <c r="G3" s="21" t="s">
        <v>1845</v>
      </c>
      <c r="H3" s="21" t="s">
        <v>1846</v>
      </c>
      <c r="I3" s="21" t="s">
        <v>1847</v>
      </c>
      <c r="J3" s="21" t="s">
        <v>1848</v>
      </c>
      <c r="K3" s="132" t="s">
        <v>2036</v>
      </c>
    </row>
    <row r="4" spans="2:11" ht="44" thickTop="1">
      <c r="B4" s="22" t="s">
        <v>213</v>
      </c>
      <c r="C4" s="23" t="str">
        <f>IF(OR(Home!B150=TRUE,Home!B191=TRUE,Home!B266=TRUE),"Applicable","Not Applicable")</f>
        <v>Not Applicable</v>
      </c>
      <c r="D4" s="22" t="s">
        <v>578</v>
      </c>
      <c r="E4" s="22" t="s">
        <v>808</v>
      </c>
      <c r="F4" s="22" t="str">
        <f t="shared" ref="F4:F18"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row>
    <row r="5" spans="2:11" ht="58">
      <c r="B5" s="22" t="s">
        <v>214</v>
      </c>
      <c r="C5" s="23" t="str">
        <f>C4</f>
        <v>Not Applicable</v>
      </c>
      <c r="D5" s="22" t="s">
        <v>580</v>
      </c>
      <c r="E5" s="22" t="s">
        <v>809</v>
      </c>
      <c r="F5" s="22" t="str">
        <f t="shared" si="0"/>
        <v>NA</v>
      </c>
      <c r="G5" s="22" t="str">
        <f t="shared" ref="G5:G18" si="1">IF(F5="not comply","Gaps to be stated here","")</f>
        <v/>
      </c>
      <c r="H5" s="22" t="str">
        <f t="shared" ref="H5:H18" si="2">IF(F5="not comply","action to be stated here","")</f>
        <v/>
      </c>
      <c r="I5" s="22" t="str">
        <f t="shared" ref="I5:I18" si="3">IF(F5="not comply","Name of PIC to be stated here","")</f>
        <v/>
      </c>
      <c r="J5" s="22" t="str">
        <f t="shared" ref="J5:J18" si="4">IF(F5="not comply","action date to be stated here","")</f>
        <v/>
      </c>
    </row>
    <row r="6" spans="2:11" ht="43.5">
      <c r="B6" s="22" t="s">
        <v>215</v>
      </c>
      <c r="C6" s="23" t="str">
        <f t="shared" ref="C6:C18" si="5">C5</f>
        <v>Not Applicable</v>
      </c>
      <c r="D6" s="22" t="s">
        <v>580</v>
      </c>
      <c r="E6" s="22" t="s">
        <v>31</v>
      </c>
      <c r="F6" s="22" t="str">
        <f t="shared" si="0"/>
        <v>NA</v>
      </c>
      <c r="G6" s="22" t="str">
        <f t="shared" si="1"/>
        <v/>
      </c>
      <c r="H6" s="22" t="str">
        <f t="shared" si="2"/>
        <v/>
      </c>
      <c r="I6" s="22" t="str">
        <f t="shared" si="3"/>
        <v/>
      </c>
      <c r="J6" s="22" t="str">
        <f t="shared" si="4"/>
        <v/>
      </c>
    </row>
    <row r="7" spans="2:11" ht="43.5">
      <c r="B7" s="22" t="s">
        <v>216</v>
      </c>
      <c r="C7" s="23" t="str">
        <f t="shared" si="5"/>
        <v>Not Applicable</v>
      </c>
      <c r="D7" s="22" t="s">
        <v>580</v>
      </c>
      <c r="E7" s="22" t="s">
        <v>31</v>
      </c>
      <c r="F7" s="22" t="str">
        <f t="shared" si="0"/>
        <v>NA</v>
      </c>
      <c r="G7" s="22" t="str">
        <f t="shared" si="1"/>
        <v/>
      </c>
      <c r="H7" s="22" t="str">
        <f t="shared" si="2"/>
        <v/>
      </c>
      <c r="I7" s="22" t="str">
        <f t="shared" si="3"/>
        <v/>
      </c>
      <c r="J7" s="22" t="str">
        <f t="shared" si="4"/>
        <v/>
      </c>
    </row>
    <row r="8" spans="2:11" ht="29">
      <c r="B8" s="22" t="s">
        <v>217</v>
      </c>
      <c r="C8" s="23" t="str">
        <f t="shared" si="5"/>
        <v>Not Applicable</v>
      </c>
      <c r="D8" s="22" t="s">
        <v>578</v>
      </c>
      <c r="E8" s="22" t="s">
        <v>31</v>
      </c>
      <c r="F8" s="22" t="str">
        <f t="shared" si="0"/>
        <v>NA</v>
      </c>
      <c r="G8" s="22" t="str">
        <f t="shared" si="1"/>
        <v/>
      </c>
      <c r="H8" s="22" t="str">
        <f t="shared" si="2"/>
        <v/>
      </c>
      <c r="I8" s="22" t="str">
        <f t="shared" si="3"/>
        <v/>
      </c>
      <c r="J8" s="22" t="str">
        <f t="shared" si="4"/>
        <v/>
      </c>
    </row>
    <row r="9" spans="2:11" ht="58">
      <c r="B9" s="22" t="s">
        <v>218</v>
      </c>
      <c r="C9" s="23" t="str">
        <f t="shared" si="5"/>
        <v>Not Applicable</v>
      </c>
      <c r="D9" s="22" t="s">
        <v>580</v>
      </c>
      <c r="E9" s="22" t="s">
        <v>810</v>
      </c>
      <c r="F9" s="22" t="str">
        <f t="shared" si="0"/>
        <v>NA</v>
      </c>
      <c r="G9" s="22" t="str">
        <f t="shared" si="1"/>
        <v/>
      </c>
      <c r="H9" s="22" t="str">
        <f t="shared" si="2"/>
        <v/>
      </c>
      <c r="I9" s="22" t="str">
        <f t="shared" si="3"/>
        <v/>
      </c>
      <c r="J9" s="22" t="str">
        <f t="shared" si="4"/>
        <v/>
      </c>
    </row>
    <row r="10" spans="2:11" ht="72.5">
      <c r="B10" s="22" t="s">
        <v>219</v>
      </c>
      <c r="C10" s="23" t="str">
        <f t="shared" si="5"/>
        <v>Not Applicable</v>
      </c>
      <c r="D10" s="22" t="s">
        <v>580</v>
      </c>
      <c r="E10" s="22" t="s">
        <v>811</v>
      </c>
      <c r="F10" s="22" t="str">
        <f t="shared" si="0"/>
        <v>NA</v>
      </c>
      <c r="G10" s="22" t="str">
        <f t="shared" si="1"/>
        <v/>
      </c>
      <c r="H10" s="22" t="str">
        <f t="shared" si="2"/>
        <v/>
      </c>
      <c r="I10" s="22" t="str">
        <f t="shared" si="3"/>
        <v/>
      </c>
      <c r="J10" s="22" t="str">
        <f t="shared" si="4"/>
        <v/>
      </c>
    </row>
    <row r="11" spans="2:11" ht="43.5">
      <c r="B11" s="22" t="s">
        <v>220</v>
      </c>
      <c r="C11" s="23" t="str">
        <f t="shared" si="5"/>
        <v>Not Applicable</v>
      </c>
      <c r="D11" s="22" t="s">
        <v>580</v>
      </c>
      <c r="E11" s="22" t="s">
        <v>812</v>
      </c>
      <c r="F11" s="22" t="str">
        <f t="shared" si="0"/>
        <v>NA</v>
      </c>
      <c r="G11" s="22" t="str">
        <f t="shared" si="1"/>
        <v/>
      </c>
      <c r="H11" s="22" t="str">
        <f t="shared" si="2"/>
        <v/>
      </c>
      <c r="I11" s="22" t="str">
        <f t="shared" si="3"/>
        <v/>
      </c>
      <c r="J11" s="22" t="str">
        <f t="shared" si="4"/>
        <v/>
      </c>
    </row>
    <row r="12" spans="2:11" ht="43.5">
      <c r="B12" s="22" t="s">
        <v>221</v>
      </c>
      <c r="C12" s="23" t="str">
        <f t="shared" si="5"/>
        <v>Not Applicable</v>
      </c>
      <c r="D12" s="22" t="s">
        <v>580</v>
      </c>
      <c r="E12" s="22" t="s">
        <v>813</v>
      </c>
      <c r="F12" s="22" t="str">
        <f t="shared" si="0"/>
        <v>NA</v>
      </c>
      <c r="G12" s="22" t="str">
        <f t="shared" si="1"/>
        <v/>
      </c>
      <c r="H12" s="22" t="str">
        <f t="shared" si="2"/>
        <v/>
      </c>
      <c r="I12" s="22" t="str">
        <f t="shared" si="3"/>
        <v/>
      </c>
      <c r="J12" s="22" t="str">
        <f t="shared" si="4"/>
        <v/>
      </c>
    </row>
    <row r="13" spans="2:11" ht="43.5">
      <c r="B13" s="22" t="s">
        <v>222</v>
      </c>
      <c r="C13" s="23" t="str">
        <f t="shared" si="5"/>
        <v>Not Applicable</v>
      </c>
      <c r="D13" s="22" t="s">
        <v>578</v>
      </c>
      <c r="E13" s="22" t="s">
        <v>814</v>
      </c>
      <c r="F13" s="22" t="str">
        <f t="shared" si="0"/>
        <v>NA</v>
      </c>
      <c r="G13" s="22" t="str">
        <f t="shared" si="1"/>
        <v/>
      </c>
      <c r="H13" s="22" t="str">
        <f t="shared" si="2"/>
        <v/>
      </c>
      <c r="I13" s="22" t="str">
        <f t="shared" si="3"/>
        <v/>
      </c>
      <c r="J13" s="22" t="str">
        <f t="shared" si="4"/>
        <v/>
      </c>
    </row>
    <row r="14" spans="2:11" ht="43.5">
      <c r="B14" s="22" t="s">
        <v>223</v>
      </c>
      <c r="C14" s="23" t="str">
        <f t="shared" si="5"/>
        <v>Not Applicable</v>
      </c>
      <c r="D14" s="22" t="s">
        <v>578</v>
      </c>
      <c r="E14" s="22" t="s">
        <v>32</v>
      </c>
      <c r="F14" s="22" t="str">
        <f t="shared" si="0"/>
        <v>NA</v>
      </c>
      <c r="G14" s="22" t="str">
        <f t="shared" si="1"/>
        <v/>
      </c>
      <c r="H14" s="22" t="str">
        <f t="shared" si="2"/>
        <v/>
      </c>
      <c r="I14" s="22" t="str">
        <f t="shared" si="3"/>
        <v/>
      </c>
      <c r="J14" s="22" t="str">
        <f t="shared" si="4"/>
        <v/>
      </c>
    </row>
    <row r="15" spans="2:11" ht="43.5">
      <c r="B15" s="22" t="s">
        <v>224</v>
      </c>
      <c r="C15" s="23" t="str">
        <f t="shared" si="5"/>
        <v>Not Applicable</v>
      </c>
      <c r="D15" s="22" t="s">
        <v>578</v>
      </c>
      <c r="E15" s="22" t="s">
        <v>32</v>
      </c>
      <c r="F15" s="22" t="str">
        <f t="shared" si="0"/>
        <v>NA</v>
      </c>
      <c r="G15" s="22" t="str">
        <f t="shared" si="1"/>
        <v/>
      </c>
      <c r="H15" s="22" t="str">
        <f t="shared" si="2"/>
        <v/>
      </c>
      <c r="I15" s="22" t="str">
        <f t="shared" si="3"/>
        <v/>
      </c>
      <c r="J15" s="22" t="str">
        <f t="shared" si="4"/>
        <v/>
      </c>
    </row>
    <row r="16" spans="2:11" ht="29">
      <c r="B16" s="22" t="s">
        <v>225</v>
      </c>
      <c r="C16" s="23" t="str">
        <f t="shared" si="5"/>
        <v>Not Applicable</v>
      </c>
      <c r="D16" s="22" t="s">
        <v>578</v>
      </c>
      <c r="E16" s="22" t="s">
        <v>31</v>
      </c>
      <c r="F16" s="22" t="str">
        <f t="shared" si="0"/>
        <v>NA</v>
      </c>
      <c r="G16" s="22" t="str">
        <f t="shared" si="1"/>
        <v/>
      </c>
      <c r="H16" s="22" t="str">
        <f t="shared" si="2"/>
        <v/>
      </c>
      <c r="I16" s="22" t="str">
        <f t="shared" si="3"/>
        <v/>
      </c>
      <c r="J16" s="22" t="str">
        <f t="shared" si="4"/>
        <v/>
      </c>
    </row>
    <row r="17" spans="2:10" ht="43.5">
      <c r="B17" s="22" t="s">
        <v>226</v>
      </c>
      <c r="C17" s="23" t="str">
        <f t="shared" si="5"/>
        <v>Not Applicable</v>
      </c>
      <c r="D17" s="22" t="s">
        <v>580</v>
      </c>
      <c r="E17" s="22" t="s">
        <v>815</v>
      </c>
      <c r="F17" s="22" t="str">
        <f t="shared" si="0"/>
        <v>NA</v>
      </c>
      <c r="G17" s="22" t="str">
        <f t="shared" si="1"/>
        <v/>
      </c>
      <c r="H17" s="22" t="str">
        <f t="shared" si="2"/>
        <v/>
      </c>
      <c r="I17" s="22" t="str">
        <f t="shared" si="3"/>
        <v/>
      </c>
      <c r="J17" s="22" t="str">
        <f t="shared" si="4"/>
        <v/>
      </c>
    </row>
    <row r="18" spans="2:10" ht="43.5">
      <c r="B18" s="22" t="s">
        <v>227</v>
      </c>
      <c r="C18" s="23" t="str">
        <f t="shared" si="5"/>
        <v>Not Applicable</v>
      </c>
      <c r="D18" s="22" t="s">
        <v>580</v>
      </c>
      <c r="E18" s="22" t="s">
        <v>816</v>
      </c>
      <c r="F18" s="22" t="str">
        <f t="shared" si="0"/>
        <v>NA</v>
      </c>
      <c r="G18" s="22" t="str">
        <f t="shared" si="1"/>
        <v/>
      </c>
      <c r="H18" s="22" t="str">
        <f t="shared" si="2"/>
        <v/>
      </c>
      <c r="I18" s="22" t="str">
        <f t="shared" si="3"/>
        <v/>
      </c>
      <c r="J18" s="22" t="str">
        <f t="shared" si="4"/>
        <v/>
      </c>
    </row>
  </sheetData>
  <conditionalFormatting sqref="C4:C18">
    <cfRule type="containsText" dxfId="199" priority="11" operator="containsText" text="Not Applicable">
      <formula>NOT(ISERROR(SEARCH("Not Applicable",C4)))</formula>
    </cfRule>
    <cfRule type="containsText" dxfId="198" priority="12" operator="containsText" text="Applicable">
      <formula>NOT(ISERROR(SEARCH("Applicable",C4)))</formula>
    </cfRule>
  </conditionalFormatting>
  <conditionalFormatting sqref="F4:F50">
    <cfRule type="containsText" dxfId="197" priority="7" operator="containsText" text="Not">
      <formula>NOT(ISERROR(SEARCH("Not",F4)))</formula>
    </cfRule>
    <cfRule type="containsText" dxfId="196" priority="8" operator="containsText" text="Comply">
      <formula>NOT(ISERROR(SEARCH("Comply",F4)))</formula>
    </cfRule>
  </conditionalFormatting>
  <conditionalFormatting sqref="G4:G18">
    <cfRule type="containsText" dxfId="195" priority="4" operator="containsText" text="Gaps to be stated here">
      <formula>NOT(ISERROR(SEARCH("Gaps to be stated here",G4)))</formula>
    </cfRule>
  </conditionalFormatting>
  <conditionalFormatting sqref="H4:H18">
    <cfRule type="containsText" dxfId="194" priority="5" operator="containsText" text="action to be stated here">
      <formula>NOT(ISERROR(SEARCH("action to be stated here",H4)))</formula>
    </cfRule>
  </conditionalFormatting>
  <conditionalFormatting sqref="I4:I18">
    <cfRule type="containsText" dxfId="193" priority="3" operator="containsText" text="Name of PIC to be stated here">
      <formula>NOT(ISERROR(SEARCH("Name of PIC to be stated here",I4)))</formula>
    </cfRule>
  </conditionalFormatting>
  <conditionalFormatting sqref="J4:J18">
    <cfRule type="containsText" dxfId="192" priority="2" operator="containsText" text="action date to be stated here">
      <formula>NOT(ISERROR(SEARCH("action date to be stated here",J4)))</formula>
    </cfRule>
  </conditionalFormatting>
  <conditionalFormatting sqref="K3">
    <cfRule type="expression" dxfId="191" priority="1">
      <formula>$K$2&gt;0</formula>
    </cfRule>
  </conditionalFormatting>
  <conditionalFormatting sqref="K4:K18">
    <cfRule type="expression" dxfId="19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6F8A5BAE-ACC4-489A-BB56-85619DF4E0BC}">
          <x14:formula1>
            <xm:f>'back-data'!$B$4:$B$6</xm:f>
          </x14:formula1>
          <xm:sqref>D4:D18</xm:sqref>
        </x14:dataValidation>
        <x14:dataValidation type="list" allowBlank="1" showInputMessage="1" showErrorMessage="1" xr:uid="{C562F2DD-895B-440A-B319-74D51A1A5DCE}">
          <x14:formula1>
            <xm:f>'back-data'!$B$13:$B$15</xm:f>
          </x14:formula1>
          <xm:sqref>F4:F18</xm:sqref>
        </x14:dataValidation>
        <x14:dataValidation type="list" allowBlank="1" showInputMessage="1" showErrorMessage="1" xr:uid="{DE5B9D24-F874-48C1-8822-749F6070F6F0}">
          <x14:formula1>
            <xm:f>Action_Tracker_Data!$I$4:$I$13</xm:f>
          </x14:formula1>
          <xm:sqref>K4:K18</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FA489-8071-4FDD-98F0-5BDDA40E696E}">
  <sheetPr>
    <tabColor rgb="FF006E3C"/>
  </sheetPr>
  <dimension ref="B1:K16"/>
  <sheetViews>
    <sheetView showGridLines="0" showRowColHeaders="0" topLeftCell="C14" zoomScaleNormal="100" workbookViewId="0">
      <selection activeCell="J22" sqref="J22"/>
    </sheetView>
  </sheetViews>
  <sheetFormatPr defaultRowHeight="14.5"/>
  <cols>
    <col min="1" max="1" width="27.81640625" style="8" customWidth="1"/>
    <col min="2" max="2" width="44.6328125" style="8" customWidth="1"/>
    <col min="3" max="3" width="16.6328125" style="8" customWidth="1"/>
    <col min="4" max="4" width="22.54296875" style="8" customWidth="1"/>
    <col min="5" max="5" width="24.269531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296</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22" t="s">
        <v>228</v>
      </c>
      <c r="C4" s="23" t="str">
        <f>IF(OR(Home!B265=TRUE,Home!B281=TRUE,Home!B313=TRUE),"Applicable","Not Applicable")</f>
        <v>Not Applicable</v>
      </c>
      <c r="D4" s="22" t="s">
        <v>580</v>
      </c>
      <c r="E4" s="22" t="s">
        <v>33</v>
      </c>
      <c r="F4" s="22" t="str">
        <f t="shared" ref="F4:F16"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72.5">
      <c r="B5" s="22" t="s">
        <v>229</v>
      </c>
      <c r="C5" s="23" t="str">
        <f>C4</f>
        <v>Not Applicable</v>
      </c>
      <c r="D5" s="22" t="s">
        <v>580</v>
      </c>
      <c r="E5" s="22" t="s">
        <v>802</v>
      </c>
      <c r="F5" s="22" t="str">
        <f t="shared" si="0"/>
        <v>NA</v>
      </c>
      <c r="G5" s="22" t="str">
        <f t="shared" ref="G5:G16" si="1">IF(F5="not comply","Gaps to be stated here","")</f>
        <v/>
      </c>
      <c r="H5" s="22" t="str">
        <f t="shared" ref="H5:H16" si="2">IF(F5="not comply","action to be stated here","")</f>
        <v/>
      </c>
      <c r="I5" s="22" t="str">
        <f t="shared" ref="I5:I16" si="3">IF(F5="not comply","Name of PIC to be stated here","")</f>
        <v/>
      </c>
      <c r="J5" s="22" t="str">
        <f t="shared" ref="J5:J16" si="4">IF(F5="not comply","action date to be stated here","")</f>
        <v/>
      </c>
      <c r="K5" s="14"/>
    </row>
    <row r="6" spans="2:11" ht="43.5">
      <c r="B6" s="22" t="s">
        <v>230</v>
      </c>
      <c r="C6" s="23" t="str">
        <f t="shared" ref="C6:C16" si="5">C5</f>
        <v>Not Applicable</v>
      </c>
      <c r="D6" s="22" t="s">
        <v>580</v>
      </c>
      <c r="E6" s="22" t="s">
        <v>31</v>
      </c>
      <c r="F6" s="22" t="str">
        <f t="shared" si="0"/>
        <v>NA</v>
      </c>
      <c r="G6" s="22" t="str">
        <f t="shared" si="1"/>
        <v/>
      </c>
      <c r="H6" s="22" t="str">
        <f t="shared" si="2"/>
        <v/>
      </c>
      <c r="I6" s="22" t="str">
        <f t="shared" si="3"/>
        <v/>
      </c>
      <c r="J6" s="22" t="str">
        <f t="shared" si="4"/>
        <v/>
      </c>
      <c r="K6" s="14"/>
    </row>
    <row r="7" spans="2:11" ht="43.5">
      <c r="B7" s="22" t="s">
        <v>231</v>
      </c>
      <c r="C7" s="23" t="str">
        <f t="shared" si="5"/>
        <v>Not Applicable</v>
      </c>
      <c r="D7" s="22" t="s">
        <v>580</v>
      </c>
      <c r="E7" s="22" t="s">
        <v>38</v>
      </c>
      <c r="F7" s="22" t="str">
        <f t="shared" si="0"/>
        <v>NA</v>
      </c>
      <c r="G7" s="22" t="str">
        <f t="shared" si="1"/>
        <v/>
      </c>
      <c r="H7" s="22" t="str">
        <f t="shared" si="2"/>
        <v/>
      </c>
      <c r="I7" s="22" t="str">
        <f t="shared" si="3"/>
        <v/>
      </c>
      <c r="J7" s="22" t="str">
        <f t="shared" si="4"/>
        <v/>
      </c>
      <c r="K7" s="14"/>
    </row>
    <row r="8" spans="2:11" ht="58">
      <c r="B8" s="22" t="s">
        <v>232</v>
      </c>
      <c r="C8" s="23" t="str">
        <f t="shared" si="5"/>
        <v>Not Applicable</v>
      </c>
      <c r="D8" s="22" t="s">
        <v>580</v>
      </c>
      <c r="E8" s="22" t="s">
        <v>803</v>
      </c>
      <c r="F8" s="22" t="str">
        <f t="shared" si="0"/>
        <v>NA</v>
      </c>
      <c r="G8" s="22" t="str">
        <f t="shared" si="1"/>
        <v/>
      </c>
      <c r="H8" s="22" t="str">
        <f t="shared" si="2"/>
        <v/>
      </c>
      <c r="I8" s="22" t="str">
        <f t="shared" si="3"/>
        <v/>
      </c>
      <c r="J8" s="22" t="str">
        <f t="shared" si="4"/>
        <v/>
      </c>
      <c r="K8" s="14"/>
    </row>
    <row r="9" spans="2:11" ht="43.5">
      <c r="B9" s="22" t="s">
        <v>233</v>
      </c>
      <c r="C9" s="23" t="str">
        <f t="shared" si="5"/>
        <v>Not Applicable</v>
      </c>
      <c r="D9" s="22" t="s">
        <v>580</v>
      </c>
      <c r="E9" s="22" t="s">
        <v>804</v>
      </c>
      <c r="F9" s="22" t="str">
        <f t="shared" si="0"/>
        <v>NA</v>
      </c>
      <c r="G9" s="22" t="str">
        <f t="shared" si="1"/>
        <v/>
      </c>
      <c r="H9" s="22" t="str">
        <f t="shared" si="2"/>
        <v/>
      </c>
      <c r="I9" s="22" t="str">
        <f t="shared" si="3"/>
        <v/>
      </c>
      <c r="J9" s="22" t="str">
        <f t="shared" si="4"/>
        <v/>
      </c>
      <c r="K9" s="14"/>
    </row>
    <row r="10" spans="2:11" ht="29">
      <c r="B10" s="22" t="s">
        <v>234</v>
      </c>
      <c r="C10" s="23" t="str">
        <f t="shared" si="5"/>
        <v>Not Applicable</v>
      </c>
      <c r="D10" s="22" t="s">
        <v>578</v>
      </c>
      <c r="E10" s="22" t="s">
        <v>32</v>
      </c>
      <c r="F10" s="22" t="str">
        <f t="shared" si="0"/>
        <v>NA</v>
      </c>
      <c r="G10" s="22" t="str">
        <f t="shared" si="1"/>
        <v/>
      </c>
      <c r="H10" s="22" t="str">
        <f t="shared" si="2"/>
        <v/>
      </c>
      <c r="I10" s="22" t="str">
        <f t="shared" si="3"/>
        <v/>
      </c>
      <c r="J10" s="22" t="str">
        <f t="shared" si="4"/>
        <v/>
      </c>
      <c r="K10" s="14"/>
    </row>
    <row r="11" spans="2:11" ht="58">
      <c r="B11" s="22" t="s">
        <v>235</v>
      </c>
      <c r="C11" s="23" t="str">
        <f t="shared" si="5"/>
        <v>Not Applicable</v>
      </c>
      <c r="D11" s="22" t="s">
        <v>580</v>
      </c>
      <c r="E11" s="22" t="s">
        <v>805</v>
      </c>
      <c r="F11" s="22" t="str">
        <f t="shared" si="0"/>
        <v>NA</v>
      </c>
      <c r="G11" s="22" t="str">
        <f t="shared" si="1"/>
        <v/>
      </c>
      <c r="H11" s="22" t="str">
        <f t="shared" si="2"/>
        <v/>
      </c>
      <c r="I11" s="22" t="str">
        <f t="shared" si="3"/>
        <v/>
      </c>
      <c r="J11" s="22" t="str">
        <f t="shared" si="4"/>
        <v/>
      </c>
      <c r="K11" s="14"/>
    </row>
    <row r="12" spans="2:11" ht="29">
      <c r="B12" s="22" t="s">
        <v>236</v>
      </c>
      <c r="C12" s="23" t="str">
        <f t="shared" si="5"/>
        <v>Not Applicable</v>
      </c>
      <c r="D12" s="22" t="s">
        <v>578</v>
      </c>
      <c r="E12" s="22" t="s">
        <v>38</v>
      </c>
      <c r="F12" s="22" t="str">
        <f t="shared" si="0"/>
        <v>NA</v>
      </c>
      <c r="G12" s="22" t="str">
        <f t="shared" si="1"/>
        <v/>
      </c>
      <c r="H12" s="22" t="str">
        <f t="shared" si="2"/>
        <v/>
      </c>
      <c r="I12" s="22" t="str">
        <f t="shared" si="3"/>
        <v/>
      </c>
      <c r="J12" s="22" t="str">
        <f t="shared" si="4"/>
        <v/>
      </c>
      <c r="K12" s="14"/>
    </row>
    <row r="13" spans="2:11" ht="58">
      <c r="B13" s="22" t="s">
        <v>237</v>
      </c>
      <c r="C13" s="23" t="str">
        <f t="shared" si="5"/>
        <v>Not Applicable</v>
      </c>
      <c r="D13" s="22" t="s">
        <v>578</v>
      </c>
      <c r="E13" s="22" t="s">
        <v>806</v>
      </c>
      <c r="F13" s="22" t="str">
        <f t="shared" si="0"/>
        <v>NA</v>
      </c>
      <c r="G13" s="22" t="str">
        <f t="shared" si="1"/>
        <v/>
      </c>
      <c r="H13" s="22" t="str">
        <f t="shared" si="2"/>
        <v/>
      </c>
      <c r="I13" s="22" t="str">
        <f t="shared" si="3"/>
        <v/>
      </c>
      <c r="J13" s="22" t="str">
        <f t="shared" si="4"/>
        <v/>
      </c>
      <c r="K13" s="14"/>
    </row>
    <row r="14" spans="2:11" ht="43.5">
      <c r="B14" s="22" t="s">
        <v>238</v>
      </c>
      <c r="C14" s="23" t="str">
        <f t="shared" si="5"/>
        <v>Not Applicable</v>
      </c>
      <c r="D14" s="22" t="s">
        <v>578</v>
      </c>
      <c r="E14" s="22" t="s">
        <v>31</v>
      </c>
      <c r="F14" s="22" t="str">
        <f t="shared" si="0"/>
        <v>NA</v>
      </c>
      <c r="G14" s="22" t="str">
        <f t="shared" si="1"/>
        <v/>
      </c>
      <c r="H14" s="22" t="str">
        <f t="shared" si="2"/>
        <v/>
      </c>
      <c r="I14" s="22" t="str">
        <f t="shared" si="3"/>
        <v/>
      </c>
      <c r="J14" s="22" t="str">
        <f t="shared" si="4"/>
        <v/>
      </c>
      <c r="K14" s="14"/>
    </row>
    <row r="15" spans="2:11" ht="43.5">
      <c r="B15" s="22" t="s">
        <v>239</v>
      </c>
      <c r="C15" s="23" t="str">
        <f t="shared" si="5"/>
        <v>Not Applicable</v>
      </c>
      <c r="D15" s="22" t="s">
        <v>580</v>
      </c>
      <c r="E15" s="22" t="s">
        <v>36</v>
      </c>
      <c r="F15" s="22" t="str">
        <f t="shared" si="0"/>
        <v>NA</v>
      </c>
      <c r="G15" s="22" t="str">
        <f t="shared" si="1"/>
        <v/>
      </c>
      <c r="H15" s="22" t="str">
        <f t="shared" si="2"/>
        <v/>
      </c>
      <c r="I15" s="22" t="str">
        <f t="shared" si="3"/>
        <v/>
      </c>
      <c r="J15" s="22" t="str">
        <f t="shared" si="4"/>
        <v/>
      </c>
      <c r="K15" s="14"/>
    </row>
    <row r="16" spans="2:11" ht="72.5">
      <c r="B16" s="22" t="s">
        <v>240</v>
      </c>
      <c r="C16" s="23" t="str">
        <f t="shared" si="5"/>
        <v>Not Applicable</v>
      </c>
      <c r="D16" s="22" t="s">
        <v>580</v>
      </c>
      <c r="E16" s="22" t="s">
        <v>807</v>
      </c>
      <c r="F16" s="22" t="str">
        <f t="shared" si="0"/>
        <v>NA</v>
      </c>
      <c r="G16" s="22" t="str">
        <f t="shared" si="1"/>
        <v/>
      </c>
      <c r="H16" s="22" t="str">
        <f t="shared" si="2"/>
        <v/>
      </c>
      <c r="I16" s="22" t="str">
        <f t="shared" si="3"/>
        <v/>
      </c>
      <c r="J16" s="22" t="str">
        <f t="shared" si="4"/>
        <v/>
      </c>
      <c r="K16" s="14"/>
    </row>
  </sheetData>
  <conditionalFormatting sqref="C4:C68">
    <cfRule type="containsText" dxfId="189" priority="11" operator="containsText" text="Not Applicable">
      <formula>NOT(ISERROR(SEARCH("Not Applicable",C4)))</formula>
    </cfRule>
    <cfRule type="containsText" dxfId="188" priority="12" operator="containsText" text="Applicable">
      <formula>NOT(ISERROR(SEARCH("Applicable",C4)))</formula>
    </cfRule>
  </conditionalFormatting>
  <conditionalFormatting sqref="F4:F50">
    <cfRule type="containsText" dxfId="187" priority="7" operator="containsText" text="Not">
      <formula>NOT(ISERROR(SEARCH("Not",F4)))</formula>
    </cfRule>
    <cfRule type="containsText" dxfId="186" priority="8" operator="containsText" text="Comply">
      <formula>NOT(ISERROR(SEARCH("Comply",F4)))</formula>
    </cfRule>
  </conditionalFormatting>
  <conditionalFormatting sqref="G4:G16">
    <cfRule type="containsText" dxfId="185" priority="4" operator="containsText" text="Gaps to be stated here">
      <formula>NOT(ISERROR(SEARCH("Gaps to be stated here",G4)))</formula>
    </cfRule>
  </conditionalFormatting>
  <conditionalFormatting sqref="H4:H16">
    <cfRule type="containsText" dxfId="184" priority="5" operator="containsText" text="action to be stated here">
      <formula>NOT(ISERROR(SEARCH("action to be stated here",H4)))</formula>
    </cfRule>
  </conditionalFormatting>
  <conditionalFormatting sqref="I4:I16">
    <cfRule type="containsText" dxfId="183" priority="3" operator="containsText" text="Name of PIC to be stated here">
      <formula>NOT(ISERROR(SEARCH("Name of PIC to be stated here",I4)))</formula>
    </cfRule>
  </conditionalFormatting>
  <conditionalFormatting sqref="J4:J16">
    <cfRule type="containsText" dxfId="182" priority="2" operator="containsText" text="action date to be stated here">
      <formula>NOT(ISERROR(SEARCH("action date to be stated here",J4)))</formula>
    </cfRule>
  </conditionalFormatting>
  <conditionalFormatting sqref="K3">
    <cfRule type="expression" dxfId="181" priority="1">
      <formula>$K$2&gt;0</formula>
    </cfRule>
  </conditionalFormatting>
  <conditionalFormatting sqref="K4:K16">
    <cfRule type="expression" dxfId="18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6CF5CF1-25B6-4550-9C08-B99E9833DDA5}">
          <x14:formula1>
            <xm:f>'back-data'!$B$4:$B$6</xm:f>
          </x14:formula1>
          <xm:sqref>D4:D16</xm:sqref>
        </x14:dataValidation>
        <x14:dataValidation type="list" allowBlank="1" showInputMessage="1" showErrorMessage="1" xr:uid="{A073A855-119C-4194-A5EC-3FE4262F765B}">
          <x14:formula1>
            <xm:f>'back-data'!$B$13:$B$15</xm:f>
          </x14:formula1>
          <xm:sqref>F4:F16</xm:sqref>
        </x14:dataValidation>
        <x14:dataValidation type="list" allowBlank="1" showInputMessage="1" showErrorMessage="1" xr:uid="{6DAC104B-C44B-41CF-A4F7-B202FD52E734}">
          <x14:formula1>
            <xm:f>Action_Tracker_Data!$J$4:$J$13</xm:f>
          </x14:formula1>
          <xm:sqref>K4:K16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6B8C8-96C7-44E1-A261-67A4A02E675A}">
  <sheetPr>
    <tabColor rgb="FF006E3C"/>
  </sheetPr>
  <dimension ref="B1:K26"/>
  <sheetViews>
    <sheetView showGridLines="0" showRowColHeaders="0" topLeftCell="C20" zoomScaleNormal="100" workbookViewId="0">
      <selection activeCell="G30" sqref="G30"/>
    </sheetView>
  </sheetViews>
  <sheetFormatPr defaultRowHeight="14.5"/>
  <cols>
    <col min="1" max="1" width="27.81640625" style="8" customWidth="1"/>
    <col min="2" max="2" width="46.36328125" style="8" customWidth="1"/>
    <col min="3" max="4" width="20" style="8" customWidth="1"/>
    <col min="5" max="5" width="26.089843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299</v>
      </c>
      <c r="F1" s="15"/>
      <c r="G1" s="8"/>
      <c r="H1" s="8"/>
      <c r="I1" s="8"/>
      <c r="J1" s="8"/>
    </row>
    <row r="2" spans="2:11" customFormat="1">
      <c r="F2" s="15"/>
      <c r="G2" s="8"/>
      <c r="H2" s="8"/>
      <c r="I2" s="8"/>
      <c r="J2" s="8"/>
      <c r="K2" s="132">
        <f>COUNTIF(F4:F29,"Not Comply")</f>
        <v>0</v>
      </c>
    </row>
    <row r="3" spans="2:11" ht="29.5" thickBot="1">
      <c r="B3" s="12" t="s">
        <v>115</v>
      </c>
      <c r="C3" s="12" t="s">
        <v>48</v>
      </c>
      <c r="D3" s="21" t="s">
        <v>57</v>
      </c>
      <c r="E3" s="21" t="s">
        <v>1812</v>
      </c>
      <c r="F3" s="21" t="s">
        <v>1410</v>
      </c>
      <c r="G3" s="21" t="s">
        <v>1845</v>
      </c>
      <c r="H3" s="21" t="s">
        <v>1846</v>
      </c>
      <c r="I3" s="21" t="s">
        <v>1847</v>
      </c>
      <c r="J3" s="21" t="s">
        <v>1848</v>
      </c>
      <c r="K3" s="132" t="s">
        <v>2036</v>
      </c>
    </row>
    <row r="4" spans="2:11" ht="44" thickTop="1">
      <c r="B4" s="22" t="s">
        <v>168</v>
      </c>
      <c r="C4" s="23" t="str">
        <f>IF(Home!B319=TRUE,"Applicable","Not Applicable")</f>
        <v>Not Applicable</v>
      </c>
      <c r="D4" s="22" t="s">
        <v>580</v>
      </c>
      <c r="E4" s="22" t="s">
        <v>33</v>
      </c>
      <c r="F4" s="22" t="str">
        <f t="shared" ref="F4:F26"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29">
      <c r="B5" s="22" t="s">
        <v>169</v>
      </c>
      <c r="C5" s="23" t="str">
        <f>C4</f>
        <v>Not Applicable</v>
      </c>
      <c r="D5" s="22" t="s">
        <v>578</v>
      </c>
      <c r="E5" s="22" t="s">
        <v>51</v>
      </c>
      <c r="F5" s="22" t="str">
        <f t="shared" si="0"/>
        <v>NA</v>
      </c>
      <c r="G5" s="22" t="str">
        <f t="shared" ref="G5:G26" si="1">IF(F5="not comply","Gaps to be stated here","")</f>
        <v/>
      </c>
      <c r="H5" s="22" t="str">
        <f t="shared" ref="H5:H26" si="2">IF(F5="not comply","action to be stated here","")</f>
        <v/>
      </c>
      <c r="I5" s="22" t="str">
        <f t="shared" ref="I5:I26" si="3">IF(F5="not comply","Name of PIC to be stated here","")</f>
        <v/>
      </c>
      <c r="J5" s="22" t="str">
        <f t="shared" ref="J5:J26" si="4">IF(F5="not comply","action date to be stated here","")</f>
        <v/>
      </c>
      <c r="K5" s="14"/>
    </row>
    <row r="6" spans="2:11" ht="43.5">
      <c r="B6" s="22" t="s">
        <v>170</v>
      </c>
      <c r="C6" s="23" t="str">
        <f t="shared" ref="C6:C26" si="5">C5</f>
        <v>Not Applicable</v>
      </c>
      <c r="D6" s="22" t="s">
        <v>580</v>
      </c>
      <c r="E6" s="22" t="s">
        <v>31</v>
      </c>
      <c r="F6" s="22" t="str">
        <f t="shared" si="0"/>
        <v>NA</v>
      </c>
      <c r="G6" s="22" t="str">
        <f t="shared" si="1"/>
        <v/>
      </c>
      <c r="H6" s="22" t="str">
        <f t="shared" si="2"/>
        <v/>
      </c>
      <c r="I6" s="22" t="str">
        <f t="shared" si="3"/>
        <v/>
      </c>
      <c r="J6" s="22" t="str">
        <f t="shared" si="4"/>
        <v/>
      </c>
      <c r="K6" s="14"/>
    </row>
    <row r="7" spans="2:11" ht="72.5">
      <c r="B7" s="22" t="s">
        <v>171</v>
      </c>
      <c r="C7" s="23" t="str">
        <f t="shared" si="5"/>
        <v>Not Applicable</v>
      </c>
      <c r="D7" s="22" t="s">
        <v>580</v>
      </c>
      <c r="E7" s="22" t="s">
        <v>817</v>
      </c>
      <c r="F7" s="22" t="str">
        <f t="shared" si="0"/>
        <v>NA</v>
      </c>
      <c r="G7" s="22" t="str">
        <f t="shared" si="1"/>
        <v/>
      </c>
      <c r="H7" s="22" t="str">
        <f t="shared" si="2"/>
        <v/>
      </c>
      <c r="I7" s="22" t="str">
        <f t="shared" si="3"/>
        <v/>
      </c>
      <c r="J7" s="22" t="str">
        <f t="shared" si="4"/>
        <v/>
      </c>
      <c r="K7" s="14"/>
    </row>
    <row r="8" spans="2:11" ht="58">
      <c r="B8" s="22" t="s">
        <v>172</v>
      </c>
      <c r="C8" s="23" t="str">
        <f t="shared" si="5"/>
        <v>Not Applicable</v>
      </c>
      <c r="D8" s="22" t="s">
        <v>580</v>
      </c>
      <c r="E8" s="22" t="s">
        <v>818</v>
      </c>
      <c r="F8" s="22" t="str">
        <f t="shared" si="0"/>
        <v>NA</v>
      </c>
      <c r="G8" s="22" t="str">
        <f t="shared" si="1"/>
        <v/>
      </c>
      <c r="H8" s="22" t="str">
        <f t="shared" si="2"/>
        <v/>
      </c>
      <c r="I8" s="22" t="str">
        <f t="shared" si="3"/>
        <v/>
      </c>
      <c r="J8" s="22" t="str">
        <f t="shared" si="4"/>
        <v/>
      </c>
      <c r="K8" s="14"/>
    </row>
    <row r="9" spans="2:11" ht="43.5">
      <c r="B9" s="22" t="s">
        <v>173</v>
      </c>
      <c r="C9" s="23" t="str">
        <f t="shared" si="5"/>
        <v>Not Applicable</v>
      </c>
      <c r="D9" s="22" t="s">
        <v>580</v>
      </c>
      <c r="E9" s="22" t="s">
        <v>819</v>
      </c>
      <c r="F9" s="22" t="str">
        <f t="shared" si="0"/>
        <v>NA</v>
      </c>
      <c r="G9" s="22" t="str">
        <f t="shared" si="1"/>
        <v/>
      </c>
      <c r="H9" s="22" t="str">
        <f t="shared" si="2"/>
        <v/>
      </c>
      <c r="I9" s="22" t="str">
        <f t="shared" si="3"/>
        <v/>
      </c>
      <c r="J9" s="22" t="str">
        <f t="shared" si="4"/>
        <v/>
      </c>
      <c r="K9" s="14"/>
    </row>
    <row r="10" spans="2:11" ht="43.5">
      <c r="B10" s="22" t="s">
        <v>174</v>
      </c>
      <c r="C10" s="23" t="str">
        <f t="shared" si="5"/>
        <v>Not Applicable</v>
      </c>
      <c r="D10" s="22" t="s">
        <v>580</v>
      </c>
      <c r="E10" s="22" t="s">
        <v>36</v>
      </c>
      <c r="F10" s="22" t="str">
        <f t="shared" si="0"/>
        <v>NA</v>
      </c>
      <c r="G10" s="22" t="str">
        <f t="shared" si="1"/>
        <v/>
      </c>
      <c r="H10" s="22" t="str">
        <f t="shared" si="2"/>
        <v/>
      </c>
      <c r="I10" s="22" t="str">
        <f t="shared" si="3"/>
        <v/>
      </c>
      <c r="J10" s="22" t="str">
        <f t="shared" si="4"/>
        <v/>
      </c>
      <c r="K10" s="14"/>
    </row>
    <row r="11" spans="2:11" ht="58">
      <c r="B11" s="22" t="s">
        <v>175</v>
      </c>
      <c r="C11" s="23" t="str">
        <f t="shared" si="5"/>
        <v>Not Applicable</v>
      </c>
      <c r="D11" s="22" t="s">
        <v>580</v>
      </c>
      <c r="E11" s="22" t="s">
        <v>820</v>
      </c>
      <c r="F11" s="22" t="str">
        <f t="shared" si="0"/>
        <v>NA</v>
      </c>
      <c r="G11" s="22" t="str">
        <f t="shared" si="1"/>
        <v/>
      </c>
      <c r="H11" s="22" t="str">
        <f t="shared" si="2"/>
        <v/>
      </c>
      <c r="I11" s="22" t="str">
        <f t="shared" si="3"/>
        <v/>
      </c>
      <c r="J11" s="22" t="str">
        <f t="shared" si="4"/>
        <v/>
      </c>
      <c r="K11" s="14"/>
    </row>
    <row r="12" spans="2:11" ht="43.5">
      <c r="B12" s="22" t="s">
        <v>176</v>
      </c>
      <c r="C12" s="23" t="str">
        <f t="shared" si="5"/>
        <v>Not Applicable</v>
      </c>
      <c r="D12" s="22" t="s">
        <v>580</v>
      </c>
      <c r="E12" s="22" t="s">
        <v>33</v>
      </c>
      <c r="F12" s="22" t="str">
        <f t="shared" si="0"/>
        <v>NA</v>
      </c>
      <c r="G12" s="22" t="str">
        <f t="shared" si="1"/>
        <v/>
      </c>
      <c r="H12" s="22" t="str">
        <f t="shared" si="2"/>
        <v/>
      </c>
      <c r="I12" s="22" t="str">
        <f t="shared" si="3"/>
        <v/>
      </c>
      <c r="J12" s="22" t="str">
        <f t="shared" si="4"/>
        <v/>
      </c>
      <c r="K12" s="14"/>
    </row>
    <row r="13" spans="2:11" ht="58">
      <c r="B13" s="22" t="s">
        <v>177</v>
      </c>
      <c r="C13" s="23" t="str">
        <f t="shared" si="5"/>
        <v>Not Applicable</v>
      </c>
      <c r="D13" s="22" t="s">
        <v>580</v>
      </c>
      <c r="E13" s="22" t="s">
        <v>821</v>
      </c>
      <c r="F13" s="22" t="str">
        <f t="shared" si="0"/>
        <v>NA</v>
      </c>
      <c r="G13" s="22" t="str">
        <f t="shared" si="1"/>
        <v/>
      </c>
      <c r="H13" s="22" t="str">
        <f t="shared" si="2"/>
        <v/>
      </c>
      <c r="I13" s="22" t="str">
        <f t="shared" si="3"/>
        <v/>
      </c>
      <c r="J13" s="22" t="str">
        <f t="shared" si="4"/>
        <v/>
      </c>
      <c r="K13" s="14"/>
    </row>
    <row r="14" spans="2:11" ht="43.5">
      <c r="B14" s="22" t="s">
        <v>178</v>
      </c>
      <c r="C14" s="23" t="str">
        <f t="shared" si="5"/>
        <v>Not Applicable</v>
      </c>
      <c r="D14" s="22" t="s">
        <v>580</v>
      </c>
      <c r="E14" s="22" t="s">
        <v>33</v>
      </c>
      <c r="F14" s="22" t="str">
        <f t="shared" si="0"/>
        <v>NA</v>
      </c>
      <c r="G14" s="22" t="str">
        <f t="shared" si="1"/>
        <v/>
      </c>
      <c r="H14" s="22" t="str">
        <f t="shared" si="2"/>
        <v/>
      </c>
      <c r="I14" s="22" t="str">
        <f t="shared" si="3"/>
        <v/>
      </c>
      <c r="J14" s="22" t="str">
        <f t="shared" si="4"/>
        <v/>
      </c>
      <c r="K14" s="14"/>
    </row>
    <row r="15" spans="2:11" ht="43.5">
      <c r="B15" s="22" t="s">
        <v>179</v>
      </c>
      <c r="C15" s="23" t="str">
        <f t="shared" si="5"/>
        <v>Not Applicable</v>
      </c>
      <c r="D15" s="22" t="s">
        <v>580</v>
      </c>
      <c r="E15" s="22" t="s">
        <v>50</v>
      </c>
      <c r="F15" s="22" t="str">
        <f t="shared" si="0"/>
        <v>NA</v>
      </c>
      <c r="G15" s="22" t="str">
        <f t="shared" si="1"/>
        <v/>
      </c>
      <c r="H15" s="22" t="str">
        <f t="shared" si="2"/>
        <v/>
      </c>
      <c r="I15" s="22" t="str">
        <f t="shared" si="3"/>
        <v/>
      </c>
      <c r="J15" s="22" t="str">
        <f t="shared" si="4"/>
        <v/>
      </c>
      <c r="K15" s="14"/>
    </row>
    <row r="16" spans="2:11" ht="43.5">
      <c r="B16" s="22" t="s">
        <v>180</v>
      </c>
      <c r="C16" s="23" t="str">
        <f t="shared" si="5"/>
        <v>Not Applicable</v>
      </c>
      <c r="D16" s="22" t="s">
        <v>580</v>
      </c>
      <c r="E16" s="22" t="s">
        <v>50</v>
      </c>
      <c r="F16" s="22" t="str">
        <f t="shared" si="0"/>
        <v>NA</v>
      </c>
      <c r="G16" s="22" t="str">
        <f t="shared" si="1"/>
        <v/>
      </c>
      <c r="H16" s="22" t="str">
        <f t="shared" si="2"/>
        <v/>
      </c>
      <c r="I16" s="22" t="str">
        <f t="shared" si="3"/>
        <v/>
      </c>
      <c r="J16" s="22" t="str">
        <f t="shared" si="4"/>
        <v/>
      </c>
      <c r="K16" s="14"/>
    </row>
    <row r="17" spans="2:11" ht="43.5">
      <c r="B17" s="22" t="s">
        <v>181</v>
      </c>
      <c r="C17" s="23" t="str">
        <f t="shared" si="5"/>
        <v>Not Applicable</v>
      </c>
      <c r="D17" s="22" t="s">
        <v>580</v>
      </c>
      <c r="E17" s="22" t="s">
        <v>33</v>
      </c>
      <c r="F17" s="22" t="str">
        <f t="shared" si="0"/>
        <v>NA</v>
      </c>
      <c r="G17" s="22" t="str">
        <f t="shared" si="1"/>
        <v/>
      </c>
      <c r="H17" s="22" t="str">
        <f t="shared" si="2"/>
        <v/>
      </c>
      <c r="I17" s="22" t="str">
        <f t="shared" si="3"/>
        <v/>
      </c>
      <c r="J17" s="22" t="str">
        <f t="shared" si="4"/>
        <v/>
      </c>
      <c r="K17" s="14"/>
    </row>
    <row r="18" spans="2:11" ht="43.5">
      <c r="B18" s="22" t="s">
        <v>182</v>
      </c>
      <c r="C18" s="23" t="str">
        <f t="shared" si="5"/>
        <v>Not Applicable</v>
      </c>
      <c r="D18" s="22" t="s">
        <v>580</v>
      </c>
      <c r="E18" s="22" t="s">
        <v>36</v>
      </c>
      <c r="F18" s="22" t="str">
        <f t="shared" si="0"/>
        <v>NA</v>
      </c>
      <c r="G18" s="22" t="str">
        <f t="shared" si="1"/>
        <v/>
      </c>
      <c r="H18" s="22" t="str">
        <f t="shared" si="2"/>
        <v/>
      </c>
      <c r="I18" s="22" t="str">
        <f t="shared" si="3"/>
        <v/>
      </c>
      <c r="J18" s="22" t="str">
        <f t="shared" si="4"/>
        <v/>
      </c>
      <c r="K18" s="14"/>
    </row>
    <row r="19" spans="2:11" ht="43.5">
      <c r="B19" s="22" t="s">
        <v>183</v>
      </c>
      <c r="C19" s="23" t="str">
        <f t="shared" si="5"/>
        <v>Not Applicable</v>
      </c>
      <c r="D19" s="22" t="s">
        <v>580</v>
      </c>
      <c r="E19" s="22" t="s">
        <v>36</v>
      </c>
      <c r="F19" s="22" t="str">
        <f t="shared" si="0"/>
        <v>NA</v>
      </c>
      <c r="G19" s="22" t="str">
        <f t="shared" si="1"/>
        <v/>
      </c>
      <c r="H19" s="22" t="str">
        <f t="shared" si="2"/>
        <v/>
      </c>
      <c r="I19" s="22" t="str">
        <f t="shared" si="3"/>
        <v/>
      </c>
      <c r="J19" s="22" t="str">
        <f t="shared" si="4"/>
        <v/>
      </c>
      <c r="K19" s="14"/>
    </row>
    <row r="20" spans="2:11" ht="58">
      <c r="B20" s="22" t="s">
        <v>184</v>
      </c>
      <c r="C20" s="23" t="str">
        <f t="shared" si="5"/>
        <v>Not Applicable</v>
      </c>
      <c r="D20" s="22" t="s">
        <v>580</v>
      </c>
      <c r="E20" s="22" t="s">
        <v>822</v>
      </c>
      <c r="F20" s="22" t="str">
        <f t="shared" si="0"/>
        <v>NA</v>
      </c>
      <c r="G20" s="22" t="str">
        <f t="shared" si="1"/>
        <v/>
      </c>
      <c r="H20" s="22" t="str">
        <f t="shared" si="2"/>
        <v/>
      </c>
      <c r="I20" s="22" t="str">
        <f t="shared" si="3"/>
        <v/>
      </c>
      <c r="J20" s="22" t="str">
        <f t="shared" si="4"/>
        <v/>
      </c>
      <c r="K20" s="14"/>
    </row>
    <row r="21" spans="2:11" ht="29">
      <c r="B21" s="22" t="s">
        <v>185</v>
      </c>
      <c r="C21" s="23" t="str">
        <f t="shared" si="5"/>
        <v>Not Applicable</v>
      </c>
      <c r="D21" s="22" t="s">
        <v>578</v>
      </c>
      <c r="E21" s="22" t="s">
        <v>51</v>
      </c>
      <c r="F21" s="22" t="str">
        <f t="shared" si="0"/>
        <v>NA</v>
      </c>
      <c r="G21" s="22" t="str">
        <f t="shared" si="1"/>
        <v/>
      </c>
      <c r="H21" s="22" t="str">
        <f t="shared" si="2"/>
        <v/>
      </c>
      <c r="I21" s="22" t="str">
        <f t="shared" si="3"/>
        <v/>
      </c>
      <c r="J21" s="22" t="str">
        <f t="shared" si="4"/>
        <v/>
      </c>
      <c r="K21" s="14"/>
    </row>
    <row r="22" spans="2:11" ht="29">
      <c r="B22" s="22" t="s">
        <v>186</v>
      </c>
      <c r="C22" s="23" t="str">
        <f t="shared" si="5"/>
        <v>Not Applicable</v>
      </c>
      <c r="D22" s="22" t="s">
        <v>578</v>
      </c>
      <c r="E22" s="22" t="s">
        <v>44</v>
      </c>
      <c r="F22" s="22" t="str">
        <f t="shared" si="0"/>
        <v>NA</v>
      </c>
      <c r="G22" s="22" t="str">
        <f t="shared" si="1"/>
        <v/>
      </c>
      <c r="H22" s="22" t="str">
        <f t="shared" si="2"/>
        <v/>
      </c>
      <c r="I22" s="22" t="str">
        <f t="shared" si="3"/>
        <v/>
      </c>
      <c r="J22" s="22" t="str">
        <f t="shared" si="4"/>
        <v/>
      </c>
      <c r="K22" s="14"/>
    </row>
    <row r="23" spans="2:11" ht="29">
      <c r="B23" s="22" t="s">
        <v>187</v>
      </c>
      <c r="C23" s="23" t="str">
        <f t="shared" si="5"/>
        <v>Not Applicable</v>
      </c>
      <c r="D23" s="22" t="s">
        <v>578</v>
      </c>
      <c r="E23" s="22" t="s">
        <v>44</v>
      </c>
      <c r="F23" s="22" t="str">
        <f t="shared" si="0"/>
        <v>NA</v>
      </c>
      <c r="G23" s="22" t="str">
        <f t="shared" si="1"/>
        <v/>
      </c>
      <c r="H23" s="22" t="str">
        <f t="shared" si="2"/>
        <v/>
      </c>
      <c r="I23" s="22" t="str">
        <f t="shared" si="3"/>
        <v/>
      </c>
      <c r="J23" s="22" t="str">
        <f t="shared" si="4"/>
        <v/>
      </c>
      <c r="K23" s="14"/>
    </row>
    <row r="24" spans="2:11" ht="29">
      <c r="B24" s="22" t="s">
        <v>188</v>
      </c>
      <c r="C24" s="23" t="str">
        <f t="shared" si="5"/>
        <v>Not Applicable</v>
      </c>
      <c r="D24" s="22" t="s">
        <v>578</v>
      </c>
      <c r="E24" s="22" t="s">
        <v>32</v>
      </c>
      <c r="F24" s="22" t="str">
        <f t="shared" si="0"/>
        <v>NA</v>
      </c>
      <c r="G24" s="22" t="str">
        <f t="shared" si="1"/>
        <v/>
      </c>
      <c r="H24" s="22" t="str">
        <f t="shared" si="2"/>
        <v/>
      </c>
      <c r="I24" s="22" t="str">
        <f t="shared" si="3"/>
        <v/>
      </c>
      <c r="J24" s="22" t="str">
        <f t="shared" si="4"/>
        <v/>
      </c>
      <c r="K24" s="14"/>
    </row>
    <row r="25" spans="2:11" ht="58">
      <c r="B25" s="22" t="s">
        <v>189</v>
      </c>
      <c r="C25" s="23" t="str">
        <f t="shared" si="5"/>
        <v>Not Applicable</v>
      </c>
      <c r="D25" s="22" t="s">
        <v>580</v>
      </c>
      <c r="E25" s="22" t="s">
        <v>823</v>
      </c>
      <c r="F25" s="22" t="str">
        <f t="shared" si="0"/>
        <v>NA</v>
      </c>
      <c r="G25" s="22" t="str">
        <f t="shared" si="1"/>
        <v/>
      </c>
      <c r="H25" s="22" t="str">
        <f t="shared" si="2"/>
        <v/>
      </c>
      <c r="I25" s="22" t="str">
        <f t="shared" si="3"/>
        <v/>
      </c>
      <c r="J25" s="22" t="str">
        <f t="shared" si="4"/>
        <v/>
      </c>
      <c r="K25" s="14"/>
    </row>
    <row r="26" spans="2:11" ht="29">
      <c r="B26" s="22" t="s">
        <v>190</v>
      </c>
      <c r="C26" s="23" t="str">
        <f t="shared" si="5"/>
        <v>Not Applicable</v>
      </c>
      <c r="D26" s="22" t="s">
        <v>579</v>
      </c>
      <c r="E26" s="22" t="s">
        <v>38</v>
      </c>
      <c r="F26" s="22" t="str">
        <f t="shared" si="0"/>
        <v>NA</v>
      </c>
      <c r="G26" s="22" t="str">
        <f t="shared" si="1"/>
        <v/>
      </c>
      <c r="H26" s="22" t="str">
        <f t="shared" si="2"/>
        <v/>
      </c>
      <c r="I26" s="22" t="str">
        <f t="shared" si="3"/>
        <v/>
      </c>
      <c r="J26" s="22" t="str">
        <f t="shared" si="4"/>
        <v/>
      </c>
      <c r="K26" s="14"/>
    </row>
  </sheetData>
  <conditionalFormatting sqref="C4:C61">
    <cfRule type="containsText" dxfId="179" priority="11" operator="containsText" text="Not Applicable">
      <formula>NOT(ISERROR(SEARCH("Not Applicable",C4)))</formula>
    </cfRule>
    <cfRule type="containsText" dxfId="178" priority="12" operator="containsText" text="Applicable">
      <formula>NOT(ISERROR(SEARCH("Applicable",C4)))</formula>
    </cfRule>
  </conditionalFormatting>
  <conditionalFormatting sqref="F4:F50">
    <cfRule type="containsText" dxfId="177" priority="7" operator="containsText" text="Not">
      <formula>NOT(ISERROR(SEARCH("Not",F4)))</formula>
    </cfRule>
    <cfRule type="containsText" dxfId="176" priority="8" operator="containsText" text="Comply">
      <formula>NOT(ISERROR(SEARCH("Comply",F4)))</formula>
    </cfRule>
  </conditionalFormatting>
  <conditionalFormatting sqref="G4:G26">
    <cfRule type="containsText" dxfId="175" priority="4" operator="containsText" text="Gaps to be stated here">
      <formula>NOT(ISERROR(SEARCH("Gaps to be stated here",G4)))</formula>
    </cfRule>
  </conditionalFormatting>
  <conditionalFormatting sqref="H4:H26">
    <cfRule type="containsText" dxfId="174" priority="5" operator="containsText" text="action to be stated here">
      <formula>NOT(ISERROR(SEARCH("action to be stated here",H4)))</formula>
    </cfRule>
  </conditionalFormatting>
  <conditionalFormatting sqref="I4:I26">
    <cfRule type="containsText" dxfId="173" priority="3" operator="containsText" text="Name of PIC to be stated here">
      <formula>NOT(ISERROR(SEARCH("Name of PIC to be stated here",I4)))</formula>
    </cfRule>
  </conditionalFormatting>
  <conditionalFormatting sqref="J4:J26">
    <cfRule type="containsText" dxfId="172" priority="2" operator="containsText" text="action date to be stated here">
      <formula>NOT(ISERROR(SEARCH("action date to be stated here",J4)))</formula>
    </cfRule>
  </conditionalFormatting>
  <conditionalFormatting sqref="K3">
    <cfRule type="expression" dxfId="171" priority="1">
      <formula>$K$2&gt;0</formula>
    </cfRule>
  </conditionalFormatting>
  <conditionalFormatting sqref="K4:K26">
    <cfRule type="expression" dxfId="17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8090732B-9565-4D09-AB64-C46068ADDC4E}">
          <x14:formula1>
            <xm:f>'back-data'!$B$4:$B$6</xm:f>
          </x14:formula1>
          <xm:sqref>D4:D26</xm:sqref>
        </x14:dataValidation>
        <x14:dataValidation type="list" allowBlank="1" showInputMessage="1" showErrorMessage="1" xr:uid="{0B04283B-D312-43DF-BBFD-EEC78EE7F014}">
          <x14:formula1>
            <xm:f>'back-data'!$B$13:$B$15</xm:f>
          </x14:formula1>
          <xm:sqref>F4:F26</xm:sqref>
        </x14:dataValidation>
        <x14:dataValidation type="list" allowBlank="1" showInputMessage="1" showErrorMessage="1" xr:uid="{70893953-48AF-4C1E-94CD-8C857CBF6BF4}">
          <x14:formula1>
            <xm:f>Action_Tracker_Data!$K$4:$K$13</xm:f>
          </x14:formula1>
          <xm:sqref>K4:K26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8954D-902E-4B5B-9CE3-0E035B028F73}">
  <sheetPr>
    <tabColor rgb="FF006E3C"/>
  </sheetPr>
  <dimension ref="B1:K27"/>
  <sheetViews>
    <sheetView showGridLines="0" showRowColHeaders="0" topLeftCell="D21" zoomScaleNormal="100" workbookViewId="0">
      <selection activeCell="F27" sqref="F27"/>
    </sheetView>
  </sheetViews>
  <sheetFormatPr defaultRowHeight="14.5"/>
  <cols>
    <col min="1" max="1" width="27.81640625" style="8" customWidth="1"/>
    <col min="2" max="2" width="52.54296875" style="8" customWidth="1"/>
    <col min="3" max="4" width="23.36328125" style="8" customWidth="1"/>
    <col min="5" max="5" width="20.269531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ht="16">
      <c r="B1" s="11" t="s">
        <v>300</v>
      </c>
      <c r="F1" s="15"/>
    </row>
    <row r="2" spans="2:11">
      <c r="F2" s="15"/>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22" t="s">
        <v>144</v>
      </c>
      <c r="C4" s="23" t="str">
        <f>IF(OR(Home!B173=TRUE,Home!B264=TRUE,Home!B267=TRUE),"Applicable","Not Applicable")</f>
        <v>Not Applicable</v>
      </c>
      <c r="D4" s="22" t="s">
        <v>580</v>
      </c>
      <c r="E4" s="22" t="s">
        <v>31</v>
      </c>
      <c r="F4" s="22" t="str">
        <f t="shared" ref="F4:F27"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29">
      <c r="B5" s="22" t="s">
        <v>145</v>
      </c>
      <c r="C5" s="23" t="str">
        <f>C4</f>
        <v>Not Applicable</v>
      </c>
      <c r="D5" s="22" t="s">
        <v>578</v>
      </c>
      <c r="E5" s="22" t="s">
        <v>38</v>
      </c>
      <c r="F5" s="22" t="str">
        <f t="shared" si="0"/>
        <v>NA</v>
      </c>
      <c r="G5" s="22" t="str">
        <f t="shared" ref="G5:G27" si="1">IF(F5="not comply","Gaps to be stated here","")</f>
        <v/>
      </c>
      <c r="H5" s="22" t="str">
        <f t="shared" ref="H5:H27" si="2">IF(F5="not comply","action to be stated here","")</f>
        <v/>
      </c>
      <c r="I5" s="22" t="str">
        <f t="shared" ref="I5:I27" si="3">IF(F5="not comply","Name of PIC to be stated here","")</f>
        <v/>
      </c>
      <c r="J5" s="22" t="str">
        <f t="shared" ref="J5:J27" si="4">IF(F5="not comply","action date to be stated here","")</f>
        <v/>
      </c>
      <c r="K5" s="14"/>
    </row>
    <row r="6" spans="2:11" ht="43.5">
      <c r="B6" s="22" t="s">
        <v>146</v>
      </c>
      <c r="C6" s="23" t="str">
        <f t="shared" ref="C6:C27" si="5">C5</f>
        <v>Not Applicable</v>
      </c>
      <c r="D6" s="22" t="s">
        <v>580</v>
      </c>
      <c r="E6" s="22" t="s">
        <v>30</v>
      </c>
      <c r="F6" s="22" t="str">
        <f t="shared" si="0"/>
        <v>NA</v>
      </c>
      <c r="G6" s="22" t="str">
        <f t="shared" si="1"/>
        <v/>
      </c>
      <c r="H6" s="22" t="str">
        <f t="shared" si="2"/>
        <v/>
      </c>
      <c r="I6" s="22" t="str">
        <f t="shared" si="3"/>
        <v/>
      </c>
      <c r="J6" s="22" t="str">
        <f t="shared" si="4"/>
        <v/>
      </c>
      <c r="K6" s="14"/>
    </row>
    <row r="7" spans="2:11" ht="87">
      <c r="B7" s="22" t="s">
        <v>147</v>
      </c>
      <c r="C7" s="23" t="str">
        <f t="shared" si="5"/>
        <v>Not Applicable</v>
      </c>
      <c r="D7" s="22" t="s">
        <v>580</v>
      </c>
      <c r="E7" s="22" t="s">
        <v>738</v>
      </c>
      <c r="F7" s="22" t="str">
        <f t="shared" si="0"/>
        <v>NA</v>
      </c>
      <c r="G7" s="22" t="str">
        <f t="shared" si="1"/>
        <v/>
      </c>
      <c r="H7" s="22" t="str">
        <f t="shared" si="2"/>
        <v/>
      </c>
      <c r="I7" s="22" t="str">
        <f t="shared" si="3"/>
        <v/>
      </c>
      <c r="J7" s="22" t="str">
        <f t="shared" si="4"/>
        <v/>
      </c>
      <c r="K7" s="14"/>
    </row>
    <row r="8" spans="2:11" ht="43.5">
      <c r="B8" s="22" t="s">
        <v>148</v>
      </c>
      <c r="C8" s="23" t="str">
        <f t="shared" si="5"/>
        <v>Not Applicable</v>
      </c>
      <c r="D8" s="22" t="s">
        <v>580</v>
      </c>
      <c r="E8" s="22" t="s">
        <v>37</v>
      </c>
      <c r="F8" s="22" t="str">
        <f t="shared" si="0"/>
        <v>NA</v>
      </c>
      <c r="G8" s="22" t="str">
        <f t="shared" si="1"/>
        <v/>
      </c>
      <c r="H8" s="22" t="str">
        <f t="shared" si="2"/>
        <v/>
      </c>
      <c r="I8" s="22" t="str">
        <f t="shared" si="3"/>
        <v/>
      </c>
      <c r="J8" s="22" t="str">
        <f t="shared" si="4"/>
        <v/>
      </c>
      <c r="K8" s="14"/>
    </row>
    <row r="9" spans="2:11" ht="58">
      <c r="B9" s="22" t="s">
        <v>149</v>
      </c>
      <c r="C9" s="23" t="str">
        <f t="shared" si="5"/>
        <v>Not Applicable</v>
      </c>
      <c r="D9" s="22" t="s">
        <v>580</v>
      </c>
      <c r="E9" s="22" t="s">
        <v>739</v>
      </c>
      <c r="F9" s="22" t="str">
        <f t="shared" si="0"/>
        <v>NA</v>
      </c>
      <c r="G9" s="22" t="str">
        <f t="shared" si="1"/>
        <v/>
      </c>
      <c r="H9" s="22" t="str">
        <f t="shared" si="2"/>
        <v/>
      </c>
      <c r="I9" s="22" t="str">
        <f t="shared" si="3"/>
        <v/>
      </c>
      <c r="J9" s="22" t="str">
        <f t="shared" si="4"/>
        <v/>
      </c>
      <c r="K9" s="14"/>
    </row>
    <row r="10" spans="2:11" ht="29">
      <c r="B10" s="22" t="s">
        <v>150</v>
      </c>
      <c r="C10" s="23" t="str">
        <f t="shared" si="5"/>
        <v>Not Applicable</v>
      </c>
      <c r="D10" s="22" t="s">
        <v>578</v>
      </c>
      <c r="E10" s="22" t="s">
        <v>32</v>
      </c>
      <c r="F10" s="22" t="str">
        <f t="shared" si="0"/>
        <v>NA</v>
      </c>
      <c r="G10" s="22" t="str">
        <f t="shared" si="1"/>
        <v/>
      </c>
      <c r="H10" s="22" t="str">
        <f t="shared" si="2"/>
        <v/>
      </c>
      <c r="I10" s="22" t="str">
        <f t="shared" si="3"/>
        <v/>
      </c>
      <c r="J10" s="22" t="str">
        <f t="shared" si="4"/>
        <v/>
      </c>
      <c r="K10" s="14"/>
    </row>
    <row r="11" spans="2:11" ht="29">
      <c r="B11" s="22" t="s">
        <v>151</v>
      </c>
      <c r="C11" s="23" t="str">
        <f t="shared" si="5"/>
        <v>Not Applicable</v>
      </c>
      <c r="D11" s="22" t="s">
        <v>578</v>
      </c>
      <c r="E11" s="22" t="s">
        <v>38</v>
      </c>
      <c r="F11" s="22" t="str">
        <f t="shared" si="0"/>
        <v>NA</v>
      </c>
      <c r="G11" s="22" t="str">
        <f t="shared" si="1"/>
        <v/>
      </c>
      <c r="H11" s="22" t="str">
        <f t="shared" si="2"/>
        <v/>
      </c>
      <c r="I11" s="22" t="str">
        <f t="shared" si="3"/>
        <v/>
      </c>
      <c r="J11" s="22" t="str">
        <f t="shared" si="4"/>
        <v/>
      </c>
      <c r="K11" s="14"/>
    </row>
    <row r="12" spans="2:11" ht="58">
      <c r="B12" s="22" t="s">
        <v>152</v>
      </c>
      <c r="C12" s="23" t="str">
        <f t="shared" si="5"/>
        <v>Not Applicable</v>
      </c>
      <c r="D12" s="22" t="s">
        <v>580</v>
      </c>
      <c r="E12" s="22" t="s">
        <v>740</v>
      </c>
      <c r="F12" s="22" t="str">
        <f t="shared" si="0"/>
        <v>NA</v>
      </c>
      <c r="G12" s="22" t="str">
        <f t="shared" si="1"/>
        <v/>
      </c>
      <c r="H12" s="22" t="str">
        <f t="shared" si="2"/>
        <v/>
      </c>
      <c r="I12" s="22" t="str">
        <f t="shared" si="3"/>
        <v/>
      </c>
      <c r="J12" s="22" t="str">
        <f t="shared" si="4"/>
        <v/>
      </c>
      <c r="K12" s="14"/>
    </row>
    <row r="13" spans="2:11" ht="72.5">
      <c r="B13" s="22" t="s">
        <v>153</v>
      </c>
      <c r="C13" s="23" t="str">
        <f t="shared" si="5"/>
        <v>Not Applicable</v>
      </c>
      <c r="D13" s="22" t="s">
        <v>580</v>
      </c>
      <c r="E13" s="22" t="s">
        <v>741</v>
      </c>
      <c r="F13" s="22" t="str">
        <f t="shared" si="0"/>
        <v>NA</v>
      </c>
      <c r="G13" s="22" t="str">
        <f t="shared" si="1"/>
        <v/>
      </c>
      <c r="H13" s="22" t="str">
        <f t="shared" si="2"/>
        <v/>
      </c>
      <c r="I13" s="22" t="str">
        <f t="shared" si="3"/>
        <v/>
      </c>
      <c r="J13" s="22" t="str">
        <f t="shared" si="4"/>
        <v/>
      </c>
      <c r="K13" s="14"/>
    </row>
    <row r="14" spans="2:11" ht="43.5">
      <c r="B14" s="22" t="s">
        <v>154</v>
      </c>
      <c r="C14" s="23" t="str">
        <f t="shared" si="5"/>
        <v>Not Applicable</v>
      </c>
      <c r="D14" s="22" t="s">
        <v>580</v>
      </c>
      <c r="E14" s="22" t="s">
        <v>31</v>
      </c>
      <c r="F14" s="22" t="str">
        <f t="shared" si="0"/>
        <v>NA</v>
      </c>
      <c r="G14" s="22" t="str">
        <f t="shared" si="1"/>
        <v/>
      </c>
      <c r="H14" s="22" t="str">
        <f t="shared" si="2"/>
        <v/>
      </c>
      <c r="I14" s="22" t="str">
        <f t="shared" si="3"/>
        <v/>
      </c>
      <c r="J14" s="22" t="str">
        <f t="shared" si="4"/>
        <v/>
      </c>
      <c r="K14" s="14"/>
    </row>
    <row r="15" spans="2:11" ht="43.5">
      <c r="B15" s="22" t="s">
        <v>155</v>
      </c>
      <c r="C15" s="23" t="str">
        <f t="shared" si="5"/>
        <v>Not Applicable</v>
      </c>
      <c r="D15" s="22" t="s">
        <v>580</v>
      </c>
      <c r="E15" s="22" t="s">
        <v>30</v>
      </c>
      <c r="F15" s="22" t="str">
        <f t="shared" si="0"/>
        <v>NA</v>
      </c>
      <c r="G15" s="22" t="str">
        <f t="shared" si="1"/>
        <v/>
      </c>
      <c r="H15" s="22" t="str">
        <f t="shared" si="2"/>
        <v/>
      </c>
      <c r="I15" s="22" t="str">
        <f t="shared" si="3"/>
        <v/>
      </c>
      <c r="J15" s="22" t="str">
        <f t="shared" si="4"/>
        <v/>
      </c>
      <c r="K15" s="14"/>
    </row>
    <row r="16" spans="2:11" ht="43.5">
      <c r="B16" s="22" t="s">
        <v>156</v>
      </c>
      <c r="C16" s="23" t="str">
        <f t="shared" si="5"/>
        <v>Not Applicable</v>
      </c>
      <c r="D16" s="22" t="s">
        <v>580</v>
      </c>
      <c r="E16" s="22" t="s">
        <v>33</v>
      </c>
      <c r="F16" s="22" t="str">
        <f t="shared" si="0"/>
        <v>NA</v>
      </c>
      <c r="G16" s="22" t="str">
        <f t="shared" si="1"/>
        <v/>
      </c>
      <c r="H16" s="22" t="str">
        <f t="shared" si="2"/>
        <v/>
      </c>
      <c r="I16" s="22" t="str">
        <f t="shared" si="3"/>
        <v/>
      </c>
      <c r="J16" s="22" t="str">
        <f t="shared" si="4"/>
        <v/>
      </c>
      <c r="K16" s="14"/>
    </row>
    <row r="17" spans="2:11" ht="72.5">
      <c r="B17" s="22" t="s">
        <v>157</v>
      </c>
      <c r="C17" s="23" t="str">
        <f t="shared" si="5"/>
        <v>Not Applicable</v>
      </c>
      <c r="D17" s="22" t="s">
        <v>580</v>
      </c>
      <c r="E17" s="22" t="s">
        <v>742</v>
      </c>
      <c r="F17" s="22" t="str">
        <f t="shared" si="0"/>
        <v>NA</v>
      </c>
      <c r="G17" s="22" t="str">
        <f t="shared" si="1"/>
        <v/>
      </c>
      <c r="H17" s="22" t="str">
        <f t="shared" si="2"/>
        <v/>
      </c>
      <c r="I17" s="22" t="str">
        <f t="shared" si="3"/>
        <v/>
      </c>
      <c r="J17" s="22" t="str">
        <f t="shared" si="4"/>
        <v/>
      </c>
      <c r="K17" s="14"/>
    </row>
    <row r="18" spans="2:11">
      <c r="B18" s="22" t="s">
        <v>158</v>
      </c>
      <c r="C18" s="23" t="str">
        <f t="shared" si="5"/>
        <v>Not Applicable</v>
      </c>
      <c r="D18" s="22" t="s">
        <v>578</v>
      </c>
      <c r="E18" s="22" t="s">
        <v>32</v>
      </c>
      <c r="F18" s="22" t="str">
        <f t="shared" si="0"/>
        <v>NA</v>
      </c>
      <c r="G18" s="22" t="str">
        <f t="shared" si="1"/>
        <v/>
      </c>
      <c r="H18" s="22" t="str">
        <f t="shared" si="2"/>
        <v/>
      </c>
      <c r="I18" s="22" t="str">
        <f t="shared" si="3"/>
        <v/>
      </c>
      <c r="J18" s="22" t="str">
        <f t="shared" si="4"/>
        <v/>
      </c>
      <c r="K18" s="14"/>
    </row>
    <row r="19" spans="2:11" ht="29">
      <c r="B19" s="22" t="s">
        <v>159</v>
      </c>
      <c r="C19" s="23" t="str">
        <f t="shared" si="5"/>
        <v>Not Applicable</v>
      </c>
      <c r="D19" s="22" t="s">
        <v>579</v>
      </c>
      <c r="E19" s="22" t="s">
        <v>38</v>
      </c>
      <c r="F19" s="22" t="str">
        <f t="shared" si="0"/>
        <v>NA</v>
      </c>
      <c r="G19" s="22" t="str">
        <f t="shared" si="1"/>
        <v/>
      </c>
      <c r="H19" s="22" t="str">
        <f t="shared" si="2"/>
        <v/>
      </c>
      <c r="I19" s="22" t="str">
        <f t="shared" si="3"/>
        <v/>
      </c>
      <c r="J19" s="22" t="str">
        <f t="shared" si="4"/>
        <v/>
      </c>
      <c r="K19" s="14"/>
    </row>
    <row r="20" spans="2:11" ht="72.5">
      <c r="B20" s="22" t="s">
        <v>160</v>
      </c>
      <c r="C20" s="23" t="str">
        <f t="shared" si="5"/>
        <v>Not Applicable</v>
      </c>
      <c r="D20" s="22" t="s">
        <v>580</v>
      </c>
      <c r="E20" s="22" t="s">
        <v>743</v>
      </c>
      <c r="F20" s="22" t="str">
        <f t="shared" si="0"/>
        <v>NA</v>
      </c>
      <c r="G20" s="22" t="str">
        <f t="shared" si="1"/>
        <v/>
      </c>
      <c r="H20" s="22" t="str">
        <f t="shared" si="2"/>
        <v/>
      </c>
      <c r="I20" s="22" t="str">
        <f t="shared" si="3"/>
        <v/>
      </c>
      <c r="J20" s="22" t="str">
        <f t="shared" si="4"/>
        <v/>
      </c>
      <c r="K20" s="14"/>
    </row>
    <row r="21" spans="2:11" ht="43.5">
      <c r="B21" s="22" t="s">
        <v>161</v>
      </c>
      <c r="C21" s="23" t="str">
        <f t="shared" si="5"/>
        <v>Not Applicable</v>
      </c>
      <c r="D21" s="22" t="s">
        <v>580</v>
      </c>
      <c r="E21" s="22" t="s">
        <v>54</v>
      </c>
      <c r="F21" s="22" t="str">
        <f t="shared" si="0"/>
        <v>NA</v>
      </c>
      <c r="G21" s="22" t="str">
        <f t="shared" si="1"/>
        <v/>
      </c>
      <c r="H21" s="22" t="str">
        <f t="shared" si="2"/>
        <v/>
      </c>
      <c r="I21" s="22" t="str">
        <f t="shared" si="3"/>
        <v/>
      </c>
      <c r="J21" s="22" t="str">
        <f t="shared" si="4"/>
        <v/>
      </c>
      <c r="K21" s="14"/>
    </row>
    <row r="22" spans="2:11" ht="43.5">
      <c r="B22" s="22" t="s">
        <v>162</v>
      </c>
      <c r="C22" s="23" t="str">
        <f t="shared" si="5"/>
        <v>Not Applicable</v>
      </c>
      <c r="D22" s="22" t="s">
        <v>580</v>
      </c>
      <c r="E22" s="22" t="s">
        <v>31</v>
      </c>
      <c r="F22" s="22" t="str">
        <f t="shared" si="0"/>
        <v>NA</v>
      </c>
      <c r="G22" s="22" t="str">
        <f t="shared" si="1"/>
        <v/>
      </c>
      <c r="H22" s="22" t="str">
        <f t="shared" si="2"/>
        <v/>
      </c>
      <c r="I22" s="22" t="str">
        <f t="shared" si="3"/>
        <v/>
      </c>
      <c r="J22" s="22" t="str">
        <f t="shared" si="4"/>
        <v/>
      </c>
      <c r="K22" s="14"/>
    </row>
    <row r="23" spans="2:11" ht="101.5">
      <c r="B23" s="22" t="s">
        <v>163</v>
      </c>
      <c r="C23" s="23" t="str">
        <f t="shared" si="5"/>
        <v>Not Applicable</v>
      </c>
      <c r="D23" s="22" t="s">
        <v>580</v>
      </c>
      <c r="E23" s="22" t="s">
        <v>744</v>
      </c>
      <c r="F23" s="22" t="str">
        <f t="shared" si="0"/>
        <v>NA</v>
      </c>
      <c r="G23" s="22" t="str">
        <f t="shared" si="1"/>
        <v/>
      </c>
      <c r="H23" s="22" t="str">
        <f t="shared" si="2"/>
        <v/>
      </c>
      <c r="I23" s="22" t="str">
        <f t="shared" si="3"/>
        <v/>
      </c>
      <c r="J23" s="22" t="str">
        <f t="shared" si="4"/>
        <v/>
      </c>
      <c r="K23" s="14"/>
    </row>
    <row r="24" spans="2:11" ht="43.5">
      <c r="B24" s="22" t="s">
        <v>164</v>
      </c>
      <c r="C24" s="23" t="str">
        <f t="shared" si="5"/>
        <v>Not Applicable</v>
      </c>
      <c r="D24" s="22" t="s">
        <v>580</v>
      </c>
      <c r="E24" s="22" t="s">
        <v>31</v>
      </c>
      <c r="F24" s="22" t="str">
        <f t="shared" si="0"/>
        <v>NA</v>
      </c>
      <c r="G24" s="22" t="str">
        <f t="shared" si="1"/>
        <v/>
      </c>
      <c r="H24" s="22" t="str">
        <f t="shared" si="2"/>
        <v/>
      </c>
      <c r="I24" s="22" t="str">
        <f t="shared" si="3"/>
        <v/>
      </c>
      <c r="J24" s="22" t="str">
        <f t="shared" si="4"/>
        <v/>
      </c>
      <c r="K24" s="14"/>
    </row>
    <row r="25" spans="2:11" ht="29">
      <c r="B25" s="22" t="s">
        <v>165</v>
      </c>
      <c r="C25" s="23" t="str">
        <f t="shared" si="5"/>
        <v>Not Applicable</v>
      </c>
      <c r="D25" s="22" t="s">
        <v>578</v>
      </c>
      <c r="E25" s="22" t="s">
        <v>31</v>
      </c>
      <c r="F25" s="22" t="str">
        <f t="shared" si="0"/>
        <v>NA</v>
      </c>
      <c r="G25" s="22" t="str">
        <f t="shared" si="1"/>
        <v/>
      </c>
      <c r="H25" s="22" t="str">
        <f t="shared" si="2"/>
        <v/>
      </c>
      <c r="I25" s="22" t="str">
        <f t="shared" si="3"/>
        <v/>
      </c>
      <c r="J25" s="22" t="str">
        <f t="shared" si="4"/>
        <v/>
      </c>
      <c r="K25" s="14"/>
    </row>
    <row r="26" spans="2:11" ht="43.5">
      <c r="B26" s="22" t="s">
        <v>166</v>
      </c>
      <c r="C26" s="23" t="str">
        <f t="shared" si="5"/>
        <v>Not Applicable</v>
      </c>
      <c r="D26" s="22" t="s">
        <v>580</v>
      </c>
      <c r="E26" s="22" t="s">
        <v>31</v>
      </c>
      <c r="F26" s="22" t="str">
        <f t="shared" si="0"/>
        <v>NA</v>
      </c>
      <c r="G26" s="22" t="str">
        <f t="shared" si="1"/>
        <v/>
      </c>
      <c r="H26" s="22" t="str">
        <f t="shared" si="2"/>
        <v/>
      </c>
      <c r="I26" s="22" t="str">
        <f t="shared" si="3"/>
        <v/>
      </c>
      <c r="J26" s="22" t="str">
        <f t="shared" si="4"/>
        <v/>
      </c>
      <c r="K26" s="14"/>
    </row>
    <row r="27" spans="2:11" ht="29">
      <c r="B27" s="22" t="s">
        <v>167</v>
      </c>
      <c r="C27" s="23" t="str">
        <f t="shared" si="5"/>
        <v>Not Applicable</v>
      </c>
      <c r="D27" s="22" t="s">
        <v>578</v>
      </c>
      <c r="E27" s="22" t="s">
        <v>31</v>
      </c>
      <c r="F27" s="22" t="str">
        <f t="shared" si="0"/>
        <v>NA</v>
      </c>
      <c r="G27" s="22" t="str">
        <f t="shared" si="1"/>
        <v/>
      </c>
      <c r="H27" s="22" t="str">
        <f t="shared" si="2"/>
        <v/>
      </c>
      <c r="I27" s="22" t="str">
        <f t="shared" si="3"/>
        <v/>
      </c>
      <c r="J27" s="22" t="str">
        <f t="shared" si="4"/>
        <v/>
      </c>
      <c r="K27" s="14"/>
    </row>
  </sheetData>
  <conditionalFormatting sqref="C4:C27">
    <cfRule type="containsText" dxfId="169" priority="11" operator="containsText" text="Not Applicable">
      <formula>NOT(ISERROR(SEARCH("Not Applicable",C4)))</formula>
    </cfRule>
    <cfRule type="containsText" dxfId="168" priority="12" operator="containsText" text="Applicable">
      <formula>NOT(ISERROR(SEARCH("Applicable",C4)))</formula>
    </cfRule>
  </conditionalFormatting>
  <conditionalFormatting sqref="F4:F50">
    <cfRule type="containsText" dxfId="167" priority="7" operator="containsText" text="Not">
      <formula>NOT(ISERROR(SEARCH("Not",F4)))</formula>
    </cfRule>
    <cfRule type="containsText" dxfId="166" priority="8" operator="containsText" text="Comply">
      <formula>NOT(ISERROR(SEARCH("Comply",F4)))</formula>
    </cfRule>
  </conditionalFormatting>
  <conditionalFormatting sqref="G4:G27">
    <cfRule type="containsText" dxfId="165" priority="4" operator="containsText" text="Gaps to be stated here">
      <formula>NOT(ISERROR(SEARCH("Gaps to be stated here",G4)))</formula>
    </cfRule>
  </conditionalFormatting>
  <conditionalFormatting sqref="H4:H27">
    <cfRule type="containsText" dxfId="164" priority="5" operator="containsText" text="action to be stated here">
      <formula>NOT(ISERROR(SEARCH("action to be stated here",H4)))</formula>
    </cfRule>
  </conditionalFormatting>
  <conditionalFormatting sqref="I4:I27">
    <cfRule type="containsText" dxfId="163" priority="3" operator="containsText" text="Name of PIC to be stated here">
      <formula>NOT(ISERROR(SEARCH("Name of PIC to be stated here",I4)))</formula>
    </cfRule>
  </conditionalFormatting>
  <conditionalFormatting sqref="J4:J27">
    <cfRule type="containsText" dxfId="162" priority="2" operator="containsText" text="action date to be stated here">
      <formula>NOT(ISERROR(SEARCH("action date to be stated here",J4)))</formula>
    </cfRule>
  </conditionalFormatting>
  <conditionalFormatting sqref="K3">
    <cfRule type="expression" dxfId="161" priority="1">
      <formula>$K$2&gt;0</formula>
    </cfRule>
  </conditionalFormatting>
  <conditionalFormatting sqref="K4:K27">
    <cfRule type="expression" dxfId="16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101F184-8C8F-495E-83A3-9649422924C0}">
          <x14:formula1>
            <xm:f>'back-data'!$B$4:$B$6</xm:f>
          </x14:formula1>
          <xm:sqref>D4:D27</xm:sqref>
        </x14:dataValidation>
        <x14:dataValidation type="list" allowBlank="1" showInputMessage="1" showErrorMessage="1" xr:uid="{D4F5CC95-72A8-4C21-96EC-B4F667F71A2D}">
          <x14:formula1>
            <xm:f>'back-data'!$B$13:$B$15</xm:f>
          </x14:formula1>
          <xm:sqref>F4:F27</xm:sqref>
        </x14:dataValidation>
        <x14:dataValidation type="list" allowBlank="1" showInputMessage="1" showErrorMessage="1" xr:uid="{8834DCCB-2347-4B55-9BF5-811865810DEB}">
          <x14:formula1>
            <xm:f>Action_Tracker_Data!$L$4:$L$13</xm:f>
          </x14:formula1>
          <xm:sqref>K4:K27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C9155-A788-438D-A1C8-C5CD58981BEE}">
  <sheetPr>
    <tabColor rgb="FF006E3C"/>
  </sheetPr>
  <dimension ref="B1:K26"/>
  <sheetViews>
    <sheetView showGridLines="0" showRowColHeaders="0" topLeftCell="E24" zoomScaleNormal="100" workbookViewId="0">
      <selection activeCell="E10" sqref="E10"/>
    </sheetView>
  </sheetViews>
  <sheetFormatPr defaultRowHeight="14.5"/>
  <cols>
    <col min="1" max="1" width="27.81640625" style="8" customWidth="1"/>
    <col min="2" max="2" width="47.453125" style="8" customWidth="1"/>
    <col min="3" max="3" width="16.08984375" style="8" customWidth="1"/>
    <col min="4" max="4" width="29.08984375" style="8" customWidth="1"/>
    <col min="5" max="5" width="34.816406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383</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29.5" thickTop="1">
      <c r="B4" s="32" t="s">
        <v>360</v>
      </c>
      <c r="C4" s="29" t="str">
        <f>IF(Home!B179=TRUE,"Applicable","Not Applicable")</f>
        <v>Not Applicable</v>
      </c>
      <c r="D4" s="32" t="s">
        <v>580</v>
      </c>
      <c r="E4" s="32" t="s">
        <v>33</v>
      </c>
      <c r="F4" s="22" t="str">
        <f t="shared" ref="F4:F26"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361</v>
      </c>
      <c r="C5" s="23" t="str">
        <f>C4</f>
        <v>Not Applicable</v>
      </c>
      <c r="D5" s="22" t="s">
        <v>580</v>
      </c>
      <c r="E5" s="22" t="s">
        <v>787</v>
      </c>
      <c r="F5" s="22" t="str">
        <f t="shared" si="0"/>
        <v>NA</v>
      </c>
      <c r="G5" s="22" t="str">
        <f t="shared" ref="G5:G26" si="1">IF(F5="not comply","Gaps to be stated here","")</f>
        <v/>
      </c>
      <c r="H5" s="22" t="str">
        <f t="shared" ref="H5:H26" si="2">IF(F5="not comply","action to be stated here","")</f>
        <v/>
      </c>
      <c r="I5" s="22" t="str">
        <f t="shared" ref="I5:I26" si="3">IF(F5="not comply","Name of PIC to be stated here","")</f>
        <v/>
      </c>
      <c r="J5" s="22" t="str">
        <f t="shared" ref="J5:J26" si="4">IF(F5="not comply","action date to be stated here","")</f>
        <v/>
      </c>
      <c r="K5" s="14"/>
    </row>
    <row r="6" spans="2:11" ht="29">
      <c r="B6" s="22" t="s">
        <v>362</v>
      </c>
      <c r="C6" s="23" t="str">
        <f t="shared" ref="C6:C26" si="5">C5</f>
        <v>Not Applicable</v>
      </c>
      <c r="D6" s="22" t="s">
        <v>580</v>
      </c>
      <c r="E6" s="22" t="s">
        <v>31</v>
      </c>
      <c r="F6" s="22" t="str">
        <f t="shared" si="0"/>
        <v>NA</v>
      </c>
      <c r="G6" s="22" t="str">
        <f t="shared" si="1"/>
        <v/>
      </c>
      <c r="H6" s="22" t="str">
        <f t="shared" si="2"/>
        <v/>
      </c>
      <c r="I6" s="22" t="str">
        <f t="shared" si="3"/>
        <v/>
      </c>
      <c r="J6" s="22" t="str">
        <f t="shared" si="4"/>
        <v/>
      </c>
      <c r="K6" s="14"/>
    </row>
    <row r="7" spans="2:11" ht="43.5">
      <c r="B7" s="22" t="s">
        <v>363</v>
      </c>
      <c r="C7" s="23" t="str">
        <f t="shared" si="5"/>
        <v>Not Applicable</v>
      </c>
      <c r="D7" s="22" t="s">
        <v>580</v>
      </c>
      <c r="E7" s="22" t="s">
        <v>788</v>
      </c>
      <c r="F7" s="22" t="str">
        <f t="shared" si="0"/>
        <v>NA</v>
      </c>
      <c r="G7" s="22" t="str">
        <f t="shared" si="1"/>
        <v/>
      </c>
      <c r="H7" s="22" t="str">
        <f t="shared" si="2"/>
        <v/>
      </c>
      <c r="I7" s="22" t="str">
        <f t="shared" si="3"/>
        <v/>
      </c>
      <c r="J7" s="22" t="str">
        <f t="shared" si="4"/>
        <v/>
      </c>
      <c r="K7" s="14"/>
    </row>
    <row r="8" spans="2:11" ht="29">
      <c r="B8" s="22" t="s">
        <v>364</v>
      </c>
      <c r="C8" s="23" t="str">
        <f t="shared" si="5"/>
        <v>Not Applicable</v>
      </c>
      <c r="D8" s="22" t="s">
        <v>580</v>
      </c>
      <c r="E8" s="22" t="s">
        <v>31</v>
      </c>
      <c r="F8" s="22" t="str">
        <f t="shared" si="0"/>
        <v>NA</v>
      </c>
      <c r="G8" s="22" t="str">
        <f t="shared" si="1"/>
        <v/>
      </c>
      <c r="H8" s="22" t="str">
        <f t="shared" si="2"/>
        <v/>
      </c>
      <c r="I8" s="22" t="str">
        <f t="shared" si="3"/>
        <v/>
      </c>
      <c r="J8" s="22" t="str">
        <f t="shared" si="4"/>
        <v/>
      </c>
      <c r="K8" s="14"/>
    </row>
    <row r="9" spans="2:11" ht="43.5">
      <c r="B9" s="22" t="s">
        <v>365</v>
      </c>
      <c r="C9" s="23" t="str">
        <f t="shared" si="5"/>
        <v>Not Applicable</v>
      </c>
      <c r="D9" s="22" t="s">
        <v>580</v>
      </c>
      <c r="E9" s="22" t="s">
        <v>789</v>
      </c>
      <c r="F9" s="22" t="str">
        <f t="shared" si="0"/>
        <v>NA</v>
      </c>
      <c r="G9" s="22" t="str">
        <f t="shared" si="1"/>
        <v/>
      </c>
      <c r="H9" s="22" t="str">
        <f t="shared" si="2"/>
        <v/>
      </c>
      <c r="I9" s="22" t="str">
        <f t="shared" si="3"/>
        <v/>
      </c>
      <c r="J9" s="22" t="str">
        <f t="shared" si="4"/>
        <v/>
      </c>
      <c r="K9" s="14"/>
    </row>
    <row r="10" spans="2:11" ht="29">
      <c r="B10" s="22" t="s">
        <v>366</v>
      </c>
      <c r="C10" s="23" t="str">
        <f t="shared" si="5"/>
        <v>Not Applicable</v>
      </c>
      <c r="D10" s="22" t="s">
        <v>580</v>
      </c>
      <c r="E10" s="22" t="s">
        <v>39</v>
      </c>
      <c r="F10" s="22" t="str">
        <f t="shared" si="0"/>
        <v>NA</v>
      </c>
      <c r="G10" s="22" t="str">
        <f t="shared" si="1"/>
        <v/>
      </c>
      <c r="H10" s="22" t="str">
        <f t="shared" si="2"/>
        <v/>
      </c>
      <c r="I10" s="22" t="str">
        <f t="shared" si="3"/>
        <v/>
      </c>
      <c r="J10" s="22" t="str">
        <f t="shared" si="4"/>
        <v/>
      </c>
      <c r="K10" s="14"/>
    </row>
    <row r="11" spans="2:11" ht="29">
      <c r="B11" s="22" t="s">
        <v>367</v>
      </c>
      <c r="C11" s="23" t="str">
        <f t="shared" si="5"/>
        <v>Not Applicable</v>
      </c>
      <c r="D11" s="22" t="s">
        <v>580</v>
      </c>
      <c r="E11" s="22" t="s">
        <v>32</v>
      </c>
      <c r="F11" s="22" t="str">
        <f t="shared" si="0"/>
        <v>NA</v>
      </c>
      <c r="G11" s="22" t="str">
        <f t="shared" si="1"/>
        <v/>
      </c>
      <c r="H11" s="22" t="str">
        <f t="shared" si="2"/>
        <v/>
      </c>
      <c r="I11" s="22" t="str">
        <f t="shared" si="3"/>
        <v/>
      </c>
      <c r="J11" s="22" t="str">
        <f t="shared" si="4"/>
        <v/>
      </c>
      <c r="K11" s="14"/>
    </row>
    <row r="12" spans="2:11" ht="29">
      <c r="B12" s="22" t="s">
        <v>368</v>
      </c>
      <c r="C12" s="23" t="str">
        <f t="shared" si="5"/>
        <v>Not Applicable</v>
      </c>
      <c r="D12" s="22" t="s">
        <v>580</v>
      </c>
      <c r="E12" s="22" t="s">
        <v>30</v>
      </c>
      <c r="F12" s="22" t="str">
        <f t="shared" si="0"/>
        <v>NA</v>
      </c>
      <c r="G12" s="22" t="str">
        <f t="shared" si="1"/>
        <v/>
      </c>
      <c r="H12" s="22" t="str">
        <f t="shared" si="2"/>
        <v/>
      </c>
      <c r="I12" s="22" t="str">
        <f t="shared" si="3"/>
        <v/>
      </c>
      <c r="J12" s="22" t="str">
        <f t="shared" si="4"/>
        <v/>
      </c>
      <c r="K12" s="14"/>
    </row>
    <row r="13" spans="2:11" ht="43.5">
      <c r="B13" s="22" t="s">
        <v>369</v>
      </c>
      <c r="C13" s="23" t="str">
        <f t="shared" si="5"/>
        <v>Not Applicable</v>
      </c>
      <c r="D13" s="22" t="s">
        <v>580</v>
      </c>
      <c r="E13" s="22" t="s">
        <v>790</v>
      </c>
      <c r="F13" s="22" t="str">
        <f t="shared" si="0"/>
        <v>NA</v>
      </c>
      <c r="G13" s="22" t="str">
        <f t="shared" si="1"/>
        <v/>
      </c>
      <c r="H13" s="22" t="str">
        <f t="shared" si="2"/>
        <v/>
      </c>
      <c r="I13" s="22" t="str">
        <f t="shared" si="3"/>
        <v/>
      </c>
      <c r="J13" s="22" t="str">
        <f t="shared" si="4"/>
        <v/>
      </c>
      <c r="K13" s="14"/>
    </row>
    <row r="14" spans="2:11" ht="29">
      <c r="B14" s="22" t="s">
        <v>370</v>
      </c>
      <c r="C14" s="23" t="str">
        <f t="shared" si="5"/>
        <v>Not Applicable</v>
      </c>
      <c r="D14" s="22" t="s">
        <v>580</v>
      </c>
      <c r="E14" s="22" t="s">
        <v>56</v>
      </c>
      <c r="F14" s="22" t="str">
        <f t="shared" si="0"/>
        <v>NA</v>
      </c>
      <c r="G14" s="22" t="str">
        <f t="shared" si="1"/>
        <v/>
      </c>
      <c r="H14" s="22" t="str">
        <f t="shared" si="2"/>
        <v/>
      </c>
      <c r="I14" s="22" t="str">
        <f t="shared" si="3"/>
        <v/>
      </c>
      <c r="J14" s="22" t="str">
        <f t="shared" si="4"/>
        <v/>
      </c>
      <c r="K14" s="14"/>
    </row>
    <row r="15" spans="2:11" ht="29">
      <c r="B15" s="22" t="s">
        <v>371</v>
      </c>
      <c r="C15" s="23" t="str">
        <f t="shared" si="5"/>
        <v>Not Applicable</v>
      </c>
      <c r="D15" s="22" t="s">
        <v>580</v>
      </c>
      <c r="E15" s="22" t="s">
        <v>791</v>
      </c>
      <c r="F15" s="22" t="str">
        <f t="shared" si="0"/>
        <v>NA</v>
      </c>
      <c r="G15" s="22" t="str">
        <f t="shared" si="1"/>
        <v/>
      </c>
      <c r="H15" s="22" t="str">
        <f t="shared" si="2"/>
        <v/>
      </c>
      <c r="I15" s="22" t="str">
        <f t="shared" si="3"/>
        <v/>
      </c>
      <c r="J15" s="22" t="str">
        <f t="shared" si="4"/>
        <v/>
      </c>
      <c r="K15" s="14"/>
    </row>
    <row r="16" spans="2:11" ht="29">
      <c r="B16" s="22" t="s">
        <v>372</v>
      </c>
      <c r="C16" s="23" t="str">
        <f t="shared" si="5"/>
        <v>Not Applicable</v>
      </c>
      <c r="D16" s="22" t="s">
        <v>578</v>
      </c>
      <c r="E16" s="22" t="s">
        <v>32</v>
      </c>
      <c r="F16" s="22" t="str">
        <f t="shared" si="0"/>
        <v>NA</v>
      </c>
      <c r="G16" s="22" t="str">
        <f t="shared" si="1"/>
        <v/>
      </c>
      <c r="H16" s="22" t="str">
        <f t="shared" si="2"/>
        <v/>
      </c>
      <c r="I16" s="22" t="str">
        <f t="shared" si="3"/>
        <v/>
      </c>
      <c r="J16" s="22" t="str">
        <f t="shared" si="4"/>
        <v/>
      </c>
      <c r="K16" s="14"/>
    </row>
    <row r="17" spans="2:11" ht="29">
      <c r="B17" s="22" t="s">
        <v>373</v>
      </c>
      <c r="C17" s="23" t="str">
        <f t="shared" si="5"/>
        <v>Not Applicable</v>
      </c>
      <c r="D17" s="22" t="s">
        <v>578</v>
      </c>
      <c r="E17" s="22" t="s">
        <v>31</v>
      </c>
      <c r="F17" s="22" t="str">
        <f t="shared" si="0"/>
        <v>NA</v>
      </c>
      <c r="G17" s="22" t="str">
        <f t="shared" si="1"/>
        <v/>
      </c>
      <c r="H17" s="22" t="str">
        <f t="shared" si="2"/>
        <v/>
      </c>
      <c r="I17" s="22" t="str">
        <f t="shared" si="3"/>
        <v/>
      </c>
      <c r="J17" s="22" t="str">
        <f t="shared" si="4"/>
        <v/>
      </c>
      <c r="K17" s="14"/>
    </row>
    <row r="18" spans="2:11" ht="29">
      <c r="B18" s="22" t="s">
        <v>374</v>
      </c>
      <c r="C18" s="23" t="str">
        <f t="shared" si="5"/>
        <v>Not Applicable</v>
      </c>
      <c r="D18" s="22" t="s">
        <v>580</v>
      </c>
      <c r="E18" s="22" t="s">
        <v>30</v>
      </c>
      <c r="F18" s="22" t="str">
        <f t="shared" si="0"/>
        <v>NA</v>
      </c>
      <c r="G18" s="22" t="str">
        <f t="shared" si="1"/>
        <v/>
      </c>
      <c r="H18" s="22" t="str">
        <f t="shared" si="2"/>
        <v/>
      </c>
      <c r="I18" s="22" t="str">
        <f t="shared" si="3"/>
        <v/>
      </c>
      <c r="J18" s="22" t="str">
        <f t="shared" si="4"/>
        <v/>
      </c>
      <c r="K18" s="14"/>
    </row>
    <row r="19" spans="2:11" ht="29">
      <c r="B19" s="22" t="s">
        <v>375</v>
      </c>
      <c r="C19" s="23" t="str">
        <f t="shared" si="5"/>
        <v>Not Applicable</v>
      </c>
      <c r="D19" s="22" t="s">
        <v>580</v>
      </c>
      <c r="E19" s="22" t="s">
        <v>31</v>
      </c>
      <c r="F19" s="22" t="str">
        <f t="shared" si="0"/>
        <v>NA</v>
      </c>
      <c r="G19" s="22" t="str">
        <f t="shared" si="1"/>
        <v/>
      </c>
      <c r="H19" s="22" t="str">
        <f t="shared" si="2"/>
        <v/>
      </c>
      <c r="I19" s="22" t="str">
        <f t="shared" si="3"/>
        <v/>
      </c>
      <c r="J19" s="22" t="str">
        <f t="shared" si="4"/>
        <v/>
      </c>
      <c r="K19" s="14"/>
    </row>
    <row r="20" spans="2:11" ht="29">
      <c r="B20" s="22" t="s">
        <v>376</v>
      </c>
      <c r="C20" s="23" t="str">
        <f t="shared" si="5"/>
        <v>Not Applicable</v>
      </c>
      <c r="D20" s="22" t="s">
        <v>578</v>
      </c>
      <c r="E20" s="22" t="s">
        <v>32</v>
      </c>
      <c r="F20" s="22" t="str">
        <f t="shared" si="0"/>
        <v>NA</v>
      </c>
      <c r="G20" s="22" t="str">
        <f t="shared" si="1"/>
        <v/>
      </c>
      <c r="H20" s="22" t="str">
        <f t="shared" si="2"/>
        <v/>
      </c>
      <c r="I20" s="22" t="str">
        <f t="shared" si="3"/>
        <v/>
      </c>
      <c r="J20" s="22" t="str">
        <f t="shared" si="4"/>
        <v/>
      </c>
      <c r="K20" s="14"/>
    </row>
    <row r="21" spans="2:11" ht="43.5">
      <c r="B21" s="22" t="s">
        <v>377</v>
      </c>
      <c r="C21" s="23" t="str">
        <f t="shared" si="5"/>
        <v>Not Applicable</v>
      </c>
      <c r="D21" s="22" t="s">
        <v>580</v>
      </c>
      <c r="E21" s="22" t="s">
        <v>792</v>
      </c>
      <c r="F21" s="22" t="str">
        <f t="shared" si="0"/>
        <v>NA</v>
      </c>
      <c r="G21" s="22" t="str">
        <f t="shared" si="1"/>
        <v/>
      </c>
      <c r="H21" s="22" t="str">
        <f t="shared" si="2"/>
        <v/>
      </c>
      <c r="I21" s="22" t="str">
        <f t="shared" si="3"/>
        <v/>
      </c>
      <c r="J21" s="22" t="str">
        <f t="shared" si="4"/>
        <v/>
      </c>
      <c r="K21" s="14"/>
    </row>
    <row r="22" spans="2:11" ht="29">
      <c r="B22" s="22" t="s">
        <v>378</v>
      </c>
      <c r="C22" s="23" t="str">
        <f t="shared" si="5"/>
        <v>Not Applicable</v>
      </c>
      <c r="D22" s="22" t="s">
        <v>580</v>
      </c>
      <c r="E22" s="22" t="s">
        <v>33</v>
      </c>
      <c r="F22" s="22" t="str">
        <f t="shared" si="0"/>
        <v>NA</v>
      </c>
      <c r="G22" s="22" t="str">
        <f t="shared" si="1"/>
        <v/>
      </c>
      <c r="H22" s="22" t="str">
        <f t="shared" si="2"/>
        <v/>
      </c>
      <c r="I22" s="22" t="str">
        <f t="shared" si="3"/>
        <v/>
      </c>
      <c r="J22" s="22" t="str">
        <f t="shared" si="4"/>
        <v/>
      </c>
      <c r="K22" s="14"/>
    </row>
    <row r="23" spans="2:11" ht="29">
      <c r="B23" s="22" t="s">
        <v>379</v>
      </c>
      <c r="C23" s="23" t="str">
        <f t="shared" si="5"/>
        <v>Not Applicable</v>
      </c>
      <c r="D23" s="22" t="s">
        <v>580</v>
      </c>
      <c r="E23" s="22" t="s">
        <v>30</v>
      </c>
      <c r="F23" s="22" t="str">
        <f t="shared" si="0"/>
        <v>NA</v>
      </c>
      <c r="G23" s="22" t="str">
        <f t="shared" si="1"/>
        <v/>
      </c>
      <c r="H23" s="22" t="str">
        <f t="shared" si="2"/>
        <v/>
      </c>
      <c r="I23" s="22" t="str">
        <f t="shared" si="3"/>
        <v/>
      </c>
      <c r="J23" s="22" t="str">
        <f t="shared" si="4"/>
        <v/>
      </c>
      <c r="K23" s="14"/>
    </row>
    <row r="24" spans="2:11" ht="29">
      <c r="B24" s="22" t="s">
        <v>380</v>
      </c>
      <c r="C24" s="23" t="str">
        <f t="shared" si="5"/>
        <v>Not Applicable</v>
      </c>
      <c r="D24" s="22" t="s">
        <v>580</v>
      </c>
      <c r="E24" s="22" t="s">
        <v>55</v>
      </c>
      <c r="F24" s="22" t="str">
        <f t="shared" si="0"/>
        <v>NA</v>
      </c>
      <c r="G24" s="22" t="str">
        <f t="shared" si="1"/>
        <v/>
      </c>
      <c r="H24" s="22" t="str">
        <f t="shared" si="2"/>
        <v/>
      </c>
      <c r="I24" s="22" t="str">
        <f t="shared" si="3"/>
        <v/>
      </c>
      <c r="J24" s="22" t="str">
        <f t="shared" si="4"/>
        <v/>
      </c>
      <c r="K24" s="14"/>
    </row>
    <row r="25" spans="2:11">
      <c r="B25" s="22" t="s">
        <v>381</v>
      </c>
      <c r="C25" s="23" t="str">
        <f t="shared" si="5"/>
        <v>Not Applicable</v>
      </c>
      <c r="D25" s="22" t="s">
        <v>579</v>
      </c>
      <c r="E25" s="22" t="s">
        <v>42</v>
      </c>
      <c r="F25" s="22" t="str">
        <f t="shared" si="0"/>
        <v>NA</v>
      </c>
      <c r="G25" s="22" t="str">
        <f t="shared" si="1"/>
        <v/>
      </c>
      <c r="H25" s="22" t="str">
        <f t="shared" si="2"/>
        <v/>
      </c>
      <c r="I25" s="22" t="str">
        <f t="shared" si="3"/>
        <v/>
      </c>
      <c r="J25" s="22" t="str">
        <f t="shared" si="4"/>
        <v/>
      </c>
      <c r="K25" s="14"/>
    </row>
    <row r="26" spans="2:11" ht="43.5">
      <c r="B26" s="22" t="s">
        <v>382</v>
      </c>
      <c r="C26" s="23" t="str">
        <f t="shared" si="5"/>
        <v>Not Applicable</v>
      </c>
      <c r="D26" s="22" t="s">
        <v>580</v>
      </c>
      <c r="E26" s="22" t="s">
        <v>793</v>
      </c>
      <c r="F26" s="22" t="str">
        <f t="shared" si="0"/>
        <v>NA</v>
      </c>
      <c r="G26" s="22" t="str">
        <f t="shared" si="1"/>
        <v/>
      </c>
      <c r="H26" s="22" t="str">
        <f t="shared" si="2"/>
        <v/>
      </c>
      <c r="I26" s="22" t="str">
        <f t="shared" si="3"/>
        <v/>
      </c>
      <c r="J26" s="22" t="str">
        <f t="shared" si="4"/>
        <v/>
      </c>
      <c r="K26" s="14"/>
    </row>
  </sheetData>
  <conditionalFormatting sqref="C4:C26">
    <cfRule type="containsText" dxfId="159" priority="11" operator="containsText" text="Not Applicable">
      <formula>NOT(ISERROR(SEARCH("Not Applicable",C4)))</formula>
    </cfRule>
    <cfRule type="containsText" dxfId="158" priority="12" operator="containsText" text="Applicable">
      <formula>NOT(ISERROR(SEARCH("Applicable",C4)))</formula>
    </cfRule>
  </conditionalFormatting>
  <conditionalFormatting sqref="F4:F50">
    <cfRule type="containsText" dxfId="157" priority="7" operator="containsText" text="Not">
      <formula>NOT(ISERROR(SEARCH("Not",F4)))</formula>
    </cfRule>
    <cfRule type="containsText" dxfId="156" priority="8" operator="containsText" text="Comply">
      <formula>NOT(ISERROR(SEARCH("Comply",F4)))</formula>
    </cfRule>
  </conditionalFormatting>
  <conditionalFormatting sqref="G4:G26">
    <cfRule type="containsText" dxfId="155" priority="4" operator="containsText" text="Gaps to be stated here">
      <formula>NOT(ISERROR(SEARCH("Gaps to be stated here",G4)))</formula>
    </cfRule>
  </conditionalFormatting>
  <conditionalFormatting sqref="H4:H26">
    <cfRule type="containsText" dxfId="154" priority="5" operator="containsText" text="action to be stated here">
      <formula>NOT(ISERROR(SEARCH("action to be stated here",H4)))</formula>
    </cfRule>
  </conditionalFormatting>
  <conditionalFormatting sqref="I4:I26">
    <cfRule type="containsText" dxfId="153" priority="3" operator="containsText" text="Name of PIC to be stated here">
      <formula>NOT(ISERROR(SEARCH("Name of PIC to be stated here",I4)))</formula>
    </cfRule>
  </conditionalFormatting>
  <conditionalFormatting sqref="J4:J26">
    <cfRule type="containsText" dxfId="152" priority="2" operator="containsText" text="action date to be stated here">
      <formula>NOT(ISERROR(SEARCH("action date to be stated here",J4)))</formula>
    </cfRule>
  </conditionalFormatting>
  <conditionalFormatting sqref="K3">
    <cfRule type="expression" dxfId="151" priority="1">
      <formula>$K$2&gt;0</formula>
    </cfRule>
  </conditionalFormatting>
  <conditionalFormatting sqref="K4:K26">
    <cfRule type="expression" dxfId="15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BA5E89DC-09C4-48A1-8ABF-88C0CFDA5317}">
          <x14:formula1>
            <xm:f>'back-data'!$B$4:$B$6</xm:f>
          </x14:formula1>
          <xm:sqref>D4:D26</xm:sqref>
        </x14:dataValidation>
        <x14:dataValidation type="list" allowBlank="1" showInputMessage="1" showErrorMessage="1" xr:uid="{B687C9D3-4608-4B27-AA10-AD4B2AA0E038}">
          <x14:formula1>
            <xm:f>'back-data'!$B$13:$B$15</xm:f>
          </x14:formula1>
          <xm:sqref>F4:F26</xm:sqref>
        </x14:dataValidation>
        <x14:dataValidation type="list" allowBlank="1" showInputMessage="1" showErrorMessage="1" xr:uid="{5AD75B99-AEE6-4760-AC6C-A0B5B9C84E67}">
          <x14:formula1>
            <xm:f>Action_Tracker_Data!$M$4:$M$13</xm:f>
          </x14:formula1>
          <xm:sqref>K4:K26</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86822-FFFE-4F59-B65F-2FDCA0117421}">
  <sheetPr>
    <tabColor rgb="FF006E3C"/>
  </sheetPr>
  <dimension ref="B1:K31"/>
  <sheetViews>
    <sheetView showGridLines="0" showRowColHeaders="0" topLeftCell="D1" zoomScaleNormal="100" workbookViewId="0">
      <selection activeCell="K3" sqref="K3"/>
    </sheetView>
  </sheetViews>
  <sheetFormatPr defaultRowHeight="14.5"/>
  <cols>
    <col min="1" max="1" width="27.81640625" style="8" customWidth="1"/>
    <col min="2" max="2" width="44.08984375" style="8" customWidth="1"/>
    <col min="3" max="3" width="19.90625" style="8" customWidth="1"/>
    <col min="4" max="5" width="28.089843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ht="16">
      <c r="B1" s="10" t="s">
        <v>267</v>
      </c>
      <c r="F1" s="15"/>
    </row>
    <row r="2" spans="2:11">
      <c r="F2" s="15"/>
      <c r="K2" s="132">
        <f>COUNTIF(F4:F100,"Not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87.5" thickTop="1">
      <c r="B4" s="22" t="s">
        <v>958</v>
      </c>
      <c r="C4" s="23" t="str">
        <f>IF(OR(Home!B131=TRUE,Home!B137=TRUE,Home!B218=TRUE,Home!B203=TRUE,Home!B137=TRUE,Home!B224=TRUE),"Applicable","Not Applicable")</f>
        <v>Not Applicable</v>
      </c>
      <c r="D4" s="23" t="s">
        <v>580</v>
      </c>
      <c r="E4" s="22" t="s">
        <v>985</v>
      </c>
      <c r="F4" s="22" t="str">
        <f t="shared" ref="F4:F31"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87">
      <c r="B5" s="22" t="s">
        <v>959</v>
      </c>
      <c r="C5" s="23" t="str">
        <f>IF(OR(Home!B131=TRUE,Home!B137=TRUE,Home!B218=TRUE,Home!B203=TRUE,Home!B137=TRUE,Home!B224=TRUE),"Applicable","Not Applicable")</f>
        <v>Not Applicable</v>
      </c>
      <c r="D5" s="23" t="s">
        <v>580</v>
      </c>
      <c r="E5" s="22" t="s">
        <v>986</v>
      </c>
      <c r="F5" s="22" t="str">
        <f t="shared" si="0"/>
        <v>NA</v>
      </c>
      <c r="G5" s="22" t="str">
        <f t="shared" ref="G5:G31" si="1">IF(F5="not comply","Gaps to be stated here","")</f>
        <v/>
      </c>
      <c r="H5" s="22" t="str">
        <f t="shared" ref="H5:H31" si="2">IF(F5="not comply","action to be stated here","")</f>
        <v/>
      </c>
      <c r="I5" s="22" t="str">
        <f t="shared" ref="I5:I31" si="3">IF(F5="not comply","Name of PIC to be stated here","")</f>
        <v/>
      </c>
      <c r="J5" s="22" t="str">
        <f t="shared" ref="J5:J31" si="4">IF(F5="not comply","action date to be stated here","")</f>
        <v/>
      </c>
      <c r="K5" s="14"/>
    </row>
    <row r="6" spans="2:11" ht="72.5">
      <c r="B6" s="22" t="s">
        <v>960</v>
      </c>
      <c r="C6" s="23" t="str">
        <f>IF(OR(Home!B131=TRUE,Home!B137=TRUE,Home!B218=TRUE,Home!B203=TRUE,Home!B137=TRUE,Home!B224=TRUE),"Applicable","Not Applicable")</f>
        <v>Not Applicable</v>
      </c>
      <c r="D6" s="23" t="s">
        <v>578</v>
      </c>
      <c r="E6" s="22" t="s">
        <v>987</v>
      </c>
      <c r="F6" s="22" t="str">
        <f t="shared" si="0"/>
        <v>NA</v>
      </c>
      <c r="G6" s="22" t="str">
        <f t="shared" si="1"/>
        <v/>
      </c>
      <c r="H6" s="22" t="str">
        <f t="shared" si="2"/>
        <v/>
      </c>
      <c r="I6" s="22" t="str">
        <f t="shared" si="3"/>
        <v/>
      </c>
      <c r="J6" s="22" t="str">
        <f t="shared" si="4"/>
        <v/>
      </c>
      <c r="K6" s="14"/>
    </row>
    <row r="7" spans="2:11" ht="72.5">
      <c r="B7" s="22" t="s">
        <v>961</v>
      </c>
      <c r="C7" s="23" t="str">
        <f t="shared" ref="C7:C31" si="5">C6</f>
        <v>Not Applicable</v>
      </c>
      <c r="D7" s="23" t="s">
        <v>580</v>
      </c>
      <c r="E7" s="22" t="s">
        <v>988</v>
      </c>
      <c r="F7" s="22" t="str">
        <f t="shared" si="0"/>
        <v>NA</v>
      </c>
      <c r="G7" s="22" t="str">
        <f t="shared" si="1"/>
        <v/>
      </c>
      <c r="H7" s="22" t="str">
        <f t="shared" si="2"/>
        <v/>
      </c>
      <c r="I7" s="22" t="str">
        <f t="shared" si="3"/>
        <v/>
      </c>
      <c r="J7" s="22" t="str">
        <f t="shared" si="4"/>
        <v/>
      </c>
      <c r="K7" s="14"/>
    </row>
    <row r="8" spans="2:11" ht="72.5">
      <c r="B8" s="22" t="s">
        <v>962</v>
      </c>
      <c r="C8" s="23" t="str">
        <f t="shared" si="5"/>
        <v>Not Applicable</v>
      </c>
      <c r="D8" s="23" t="s">
        <v>580</v>
      </c>
      <c r="E8" s="22" t="s">
        <v>989</v>
      </c>
      <c r="F8" s="22" t="str">
        <f t="shared" si="0"/>
        <v>NA</v>
      </c>
      <c r="G8" s="22" t="str">
        <f t="shared" si="1"/>
        <v/>
      </c>
      <c r="H8" s="22" t="str">
        <f t="shared" si="2"/>
        <v/>
      </c>
      <c r="I8" s="22" t="str">
        <f t="shared" si="3"/>
        <v/>
      </c>
      <c r="J8" s="22" t="str">
        <f t="shared" si="4"/>
        <v/>
      </c>
      <c r="K8" s="14"/>
    </row>
    <row r="9" spans="2:11" ht="72.5">
      <c r="B9" s="22" t="s">
        <v>963</v>
      </c>
      <c r="C9" s="23" t="str">
        <f t="shared" si="5"/>
        <v>Not Applicable</v>
      </c>
      <c r="D9" s="23" t="s">
        <v>580</v>
      </c>
      <c r="E9" s="22" t="s">
        <v>990</v>
      </c>
      <c r="F9" s="22" t="str">
        <f t="shared" si="0"/>
        <v>NA</v>
      </c>
      <c r="G9" s="22" t="str">
        <f t="shared" si="1"/>
        <v/>
      </c>
      <c r="H9" s="22" t="str">
        <f t="shared" si="2"/>
        <v/>
      </c>
      <c r="I9" s="22" t="str">
        <f t="shared" si="3"/>
        <v/>
      </c>
      <c r="J9" s="22" t="str">
        <f t="shared" si="4"/>
        <v/>
      </c>
      <c r="K9" s="14"/>
    </row>
    <row r="10" spans="2:11" ht="87">
      <c r="B10" s="22" t="s">
        <v>964</v>
      </c>
      <c r="C10" s="23" t="str">
        <f t="shared" si="5"/>
        <v>Not Applicable</v>
      </c>
      <c r="D10" s="23" t="s">
        <v>580</v>
      </c>
      <c r="E10" s="22" t="s">
        <v>991</v>
      </c>
      <c r="F10" s="22" t="str">
        <f t="shared" si="0"/>
        <v>NA</v>
      </c>
      <c r="G10" s="22" t="str">
        <f t="shared" si="1"/>
        <v/>
      </c>
      <c r="H10" s="22" t="str">
        <f t="shared" si="2"/>
        <v/>
      </c>
      <c r="I10" s="22" t="str">
        <f t="shared" si="3"/>
        <v/>
      </c>
      <c r="J10" s="22" t="str">
        <f t="shared" si="4"/>
        <v/>
      </c>
      <c r="K10" s="14"/>
    </row>
    <row r="11" spans="2:11" ht="101.5">
      <c r="B11" s="22" t="s">
        <v>965</v>
      </c>
      <c r="C11" s="23" t="str">
        <f t="shared" si="5"/>
        <v>Not Applicable</v>
      </c>
      <c r="D11" s="23" t="s">
        <v>578</v>
      </c>
      <c r="E11" s="22" t="s">
        <v>992</v>
      </c>
      <c r="F11" s="22" t="str">
        <f t="shared" si="0"/>
        <v>NA</v>
      </c>
      <c r="G11" s="22" t="str">
        <f t="shared" si="1"/>
        <v/>
      </c>
      <c r="H11" s="22" t="str">
        <f t="shared" si="2"/>
        <v/>
      </c>
      <c r="I11" s="22" t="str">
        <f t="shared" si="3"/>
        <v/>
      </c>
      <c r="J11" s="22" t="str">
        <f t="shared" si="4"/>
        <v/>
      </c>
      <c r="K11" s="14"/>
    </row>
    <row r="12" spans="2:11" ht="72.5">
      <c r="B12" s="22" t="s">
        <v>966</v>
      </c>
      <c r="C12" s="23" t="str">
        <f t="shared" si="5"/>
        <v>Not Applicable</v>
      </c>
      <c r="D12" s="23" t="s">
        <v>578</v>
      </c>
      <c r="E12" s="22" t="s">
        <v>993</v>
      </c>
      <c r="F12" s="22" t="str">
        <f t="shared" si="0"/>
        <v>NA</v>
      </c>
      <c r="G12" s="22" t="str">
        <f t="shared" si="1"/>
        <v/>
      </c>
      <c r="H12" s="22" t="str">
        <f t="shared" si="2"/>
        <v/>
      </c>
      <c r="I12" s="22" t="str">
        <f t="shared" si="3"/>
        <v/>
      </c>
      <c r="J12" s="22" t="str">
        <f t="shared" si="4"/>
        <v/>
      </c>
      <c r="K12" s="14"/>
    </row>
    <row r="13" spans="2:11" ht="72.5">
      <c r="B13" s="22" t="s">
        <v>967</v>
      </c>
      <c r="C13" s="23" t="str">
        <f t="shared" si="5"/>
        <v>Not Applicable</v>
      </c>
      <c r="D13" s="23" t="s">
        <v>578</v>
      </c>
      <c r="E13" s="22" t="s">
        <v>994</v>
      </c>
      <c r="F13" s="22" t="str">
        <f t="shared" si="0"/>
        <v>NA</v>
      </c>
      <c r="G13" s="22" t="str">
        <f t="shared" si="1"/>
        <v/>
      </c>
      <c r="H13" s="22" t="str">
        <f t="shared" si="2"/>
        <v/>
      </c>
      <c r="I13" s="22" t="str">
        <f t="shared" si="3"/>
        <v/>
      </c>
      <c r="J13" s="22" t="str">
        <f t="shared" si="4"/>
        <v/>
      </c>
      <c r="K13" s="14"/>
    </row>
    <row r="14" spans="2:11" ht="87">
      <c r="B14" s="22" t="s">
        <v>968</v>
      </c>
      <c r="C14" s="23" t="str">
        <f t="shared" si="5"/>
        <v>Not Applicable</v>
      </c>
      <c r="D14" s="23" t="s">
        <v>578</v>
      </c>
      <c r="E14" s="22" t="s">
        <v>995</v>
      </c>
      <c r="F14" s="22" t="str">
        <f t="shared" si="0"/>
        <v>NA</v>
      </c>
      <c r="G14" s="22" t="str">
        <f t="shared" si="1"/>
        <v/>
      </c>
      <c r="H14" s="22" t="str">
        <f t="shared" si="2"/>
        <v/>
      </c>
      <c r="I14" s="22" t="str">
        <f t="shared" si="3"/>
        <v/>
      </c>
      <c r="J14" s="22" t="str">
        <f t="shared" si="4"/>
        <v/>
      </c>
      <c r="K14" s="14"/>
    </row>
    <row r="15" spans="2:11" ht="87">
      <c r="B15" s="22" t="s">
        <v>969</v>
      </c>
      <c r="C15" s="23" t="str">
        <f t="shared" si="5"/>
        <v>Not Applicable</v>
      </c>
      <c r="D15" s="23" t="s">
        <v>580</v>
      </c>
      <c r="E15" s="22" t="s">
        <v>996</v>
      </c>
      <c r="F15" s="22" t="str">
        <f t="shared" si="0"/>
        <v>NA</v>
      </c>
      <c r="G15" s="22" t="str">
        <f t="shared" si="1"/>
        <v/>
      </c>
      <c r="H15" s="22" t="str">
        <f t="shared" si="2"/>
        <v/>
      </c>
      <c r="I15" s="22" t="str">
        <f t="shared" si="3"/>
        <v/>
      </c>
      <c r="J15" s="22" t="str">
        <f t="shared" si="4"/>
        <v/>
      </c>
      <c r="K15" s="14"/>
    </row>
    <row r="16" spans="2:11" ht="101.5">
      <c r="B16" s="22" t="s">
        <v>970</v>
      </c>
      <c r="C16" s="23" t="str">
        <f t="shared" si="5"/>
        <v>Not Applicable</v>
      </c>
      <c r="D16" s="23" t="s">
        <v>580</v>
      </c>
      <c r="E16" s="22" t="s">
        <v>997</v>
      </c>
      <c r="F16" s="22" t="str">
        <f t="shared" si="0"/>
        <v>NA</v>
      </c>
      <c r="G16" s="22" t="str">
        <f t="shared" si="1"/>
        <v/>
      </c>
      <c r="H16" s="22" t="str">
        <f t="shared" si="2"/>
        <v/>
      </c>
      <c r="I16" s="22" t="str">
        <f t="shared" si="3"/>
        <v/>
      </c>
      <c r="J16" s="22" t="str">
        <f t="shared" si="4"/>
        <v/>
      </c>
      <c r="K16" s="14"/>
    </row>
    <row r="17" spans="2:11" ht="87">
      <c r="B17" s="22" t="s">
        <v>971</v>
      </c>
      <c r="C17" s="23" t="str">
        <f t="shared" si="5"/>
        <v>Not Applicable</v>
      </c>
      <c r="D17" s="23" t="s">
        <v>580</v>
      </c>
      <c r="E17" s="22" t="s">
        <v>998</v>
      </c>
      <c r="F17" s="22" t="str">
        <f t="shared" si="0"/>
        <v>NA</v>
      </c>
      <c r="G17" s="22" t="str">
        <f t="shared" si="1"/>
        <v/>
      </c>
      <c r="H17" s="22" t="str">
        <f t="shared" si="2"/>
        <v/>
      </c>
      <c r="I17" s="22" t="str">
        <f t="shared" si="3"/>
        <v/>
      </c>
      <c r="J17" s="22" t="str">
        <f t="shared" si="4"/>
        <v/>
      </c>
      <c r="K17" s="14"/>
    </row>
    <row r="18" spans="2:11" ht="87">
      <c r="B18" s="22" t="s">
        <v>972</v>
      </c>
      <c r="C18" s="23" t="str">
        <f t="shared" si="5"/>
        <v>Not Applicable</v>
      </c>
      <c r="D18" s="23" t="s">
        <v>580</v>
      </c>
      <c r="E18" s="22" t="s">
        <v>999</v>
      </c>
      <c r="F18" s="22" t="str">
        <f t="shared" si="0"/>
        <v>NA</v>
      </c>
      <c r="G18" s="22" t="str">
        <f t="shared" si="1"/>
        <v/>
      </c>
      <c r="H18" s="22" t="str">
        <f t="shared" si="2"/>
        <v/>
      </c>
      <c r="I18" s="22" t="str">
        <f t="shared" si="3"/>
        <v/>
      </c>
      <c r="J18" s="22" t="str">
        <f t="shared" si="4"/>
        <v/>
      </c>
      <c r="K18" s="14"/>
    </row>
    <row r="19" spans="2:11" ht="87">
      <c r="B19" s="22" t="s">
        <v>973</v>
      </c>
      <c r="C19" s="23" t="str">
        <f t="shared" si="5"/>
        <v>Not Applicable</v>
      </c>
      <c r="D19" s="23" t="s">
        <v>580</v>
      </c>
      <c r="E19" s="22" t="s">
        <v>1000</v>
      </c>
      <c r="F19" s="22" t="str">
        <f t="shared" si="0"/>
        <v>NA</v>
      </c>
      <c r="G19" s="22" t="str">
        <f t="shared" si="1"/>
        <v/>
      </c>
      <c r="H19" s="22" t="str">
        <f t="shared" si="2"/>
        <v/>
      </c>
      <c r="I19" s="22" t="str">
        <f t="shared" si="3"/>
        <v/>
      </c>
      <c r="J19" s="22" t="str">
        <f t="shared" si="4"/>
        <v/>
      </c>
      <c r="K19" s="14"/>
    </row>
    <row r="20" spans="2:11" ht="58">
      <c r="B20" s="22" t="s">
        <v>974</v>
      </c>
      <c r="C20" s="23" t="str">
        <f t="shared" si="5"/>
        <v>Not Applicable</v>
      </c>
      <c r="D20" s="23" t="s">
        <v>578</v>
      </c>
      <c r="E20" s="22" t="s">
        <v>1001</v>
      </c>
      <c r="F20" s="22" t="str">
        <f t="shared" si="0"/>
        <v>NA</v>
      </c>
      <c r="G20" s="22" t="str">
        <f t="shared" si="1"/>
        <v/>
      </c>
      <c r="H20" s="22" t="str">
        <f t="shared" si="2"/>
        <v/>
      </c>
      <c r="I20" s="22" t="str">
        <f t="shared" si="3"/>
        <v/>
      </c>
      <c r="J20" s="22" t="str">
        <f t="shared" si="4"/>
        <v/>
      </c>
      <c r="K20" s="14"/>
    </row>
    <row r="21" spans="2:11" ht="72.5">
      <c r="B21" s="22" t="s">
        <v>975</v>
      </c>
      <c r="C21" s="23" t="str">
        <f t="shared" si="5"/>
        <v>Not Applicable</v>
      </c>
      <c r="D21" s="23" t="s">
        <v>580</v>
      </c>
      <c r="E21" s="22" t="s">
        <v>1002</v>
      </c>
      <c r="F21" s="22" t="str">
        <f t="shared" si="0"/>
        <v>NA</v>
      </c>
      <c r="G21" s="22" t="str">
        <f t="shared" si="1"/>
        <v/>
      </c>
      <c r="H21" s="22" t="str">
        <f t="shared" si="2"/>
        <v/>
      </c>
      <c r="I21" s="22" t="str">
        <f t="shared" si="3"/>
        <v/>
      </c>
      <c r="J21" s="22" t="str">
        <f t="shared" si="4"/>
        <v/>
      </c>
      <c r="K21" s="14"/>
    </row>
    <row r="22" spans="2:11" ht="87">
      <c r="B22" s="22" t="s">
        <v>976</v>
      </c>
      <c r="C22" s="23" t="str">
        <f t="shared" si="5"/>
        <v>Not Applicable</v>
      </c>
      <c r="D22" s="23" t="s">
        <v>580</v>
      </c>
      <c r="E22" s="22" t="s">
        <v>1003</v>
      </c>
      <c r="F22" s="22" t="str">
        <f t="shared" si="0"/>
        <v>NA</v>
      </c>
      <c r="G22" s="22" t="str">
        <f t="shared" si="1"/>
        <v/>
      </c>
      <c r="H22" s="22" t="str">
        <f t="shared" si="2"/>
        <v/>
      </c>
      <c r="I22" s="22" t="str">
        <f t="shared" si="3"/>
        <v/>
      </c>
      <c r="J22" s="22" t="str">
        <f t="shared" si="4"/>
        <v/>
      </c>
      <c r="K22" s="14"/>
    </row>
    <row r="23" spans="2:11" ht="87">
      <c r="B23" s="22" t="s">
        <v>1349</v>
      </c>
      <c r="C23" s="23" t="str">
        <f t="shared" si="5"/>
        <v>Not Applicable</v>
      </c>
      <c r="D23" s="23" t="s">
        <v>580</v>
      </c>
      <c r="E23" s="22" t="s">
        <v>1004</v>
      </c>
      <c r="F23" s="22" t="str">
        <f t="shared" si="0"/>
        <v>NA</v>
      </c>
      <c r="G23" s="22" t="str">
        <f t="shared" si="1"/>
        <v/>
      </c>
      <c r="H23" s="22" t="str">
        <f t="shared" si="2"/>
        <v/>
      </c>
      <c r="I23" s="22" t="str">
        <f t="shared" si="3"/>
        <v/>
      </c>
      <c r="J23" s="22" t="str">
        <f t="shared" si="4"/>
        <v/>
      </c>
      <c r="K23" s="14"/>
    </row>
    <row r="24" spans="2:11" ht="87">
      <c r="B24" s="22" t="s">
        <v>977</v>
      </c>
      <c r="C24" s="23" t="str">
        <f t="shared" si="5"/>
        <v>Not Applicable</v>
      </c>
      <c r="D24" s="23" t="s">
        <v>580</v>
      </c>
      <c r="E24" s="22" t="s">
        <v>1005</v>
      </c>
      <c r="F24" s="22" t="str">
        <f t="shared" si="0"/>
        <v>NA</v>
      </c>
      <c r="G24" s="22" t="str">
        <f t="shared" si="1"/>
        <v/>
      </c>
      <c r="H24" s="22" t="str">
        <f t="shared" si="2"/>
        <v/>
      </c>
      <c r="I24" s="22" t="str">
        <f t="shared" si="3"/>
        <v/>
      </c>
      <c r="J24" s="22" t="str">
        <f t="shared" si="4"/>
        <v/>
      </c>
      <c r="K24" s="14"/>
    </row>
    <row r="25" spans="2:11" ht="72.5">
      <c r="B25" s="22" t="s">
        <v>978</v>
      </c>
      <c r="C25" s="23" t="str">
        <f t="shared" si="5"/>
        <v>Not Applicable</v>
      </c>
      <c r="D25" s="23" t="s">
        <v>578</v>
      </c>
      <c r="E25" s="22" t="s">
        <v>1006</v>
      </c>
      <c r="F25" s="22" t="str">
        <f t="shared" si="0"/>
        <v>NA</v>
      </c>
      <c r="G25" s="22" t="str">
        <f t="shared" si="1"/>
        <v/>
      </c>
      <c r="H25" s="22" t="str">
        <f t="shared" si="2"/>
        <v/>
      </c>
      <c r="I25" s="22" t="str">
        <f t="shared" si="3"/>
        <v/>
      </c>
      <c r="J25" s="22" t="str">
        <f t="shared" si="4"/>
        <v/>
      </c>
      <c r="K25" s="14"/>
    </row>
    <row r="26" spans="2:11" ht="72.5">
      <c r="B26" s="22" t="s">
        <v>979</v>
      </c>
      <c r="C26" s="23" t="str">
        <f t="shared" si="5"/>
        <v>Not Applicable</v>
      </c>
      <c r="D26" s="23" t="s">
        <v>580</v>
      </c>
      <c r="E26" s="22" t="s">
        <v>1007</v>
      </c>
      <c r="F26" s="22" t="str">
        <f t="shared" si="0"/>
        <v>NA</v>
      </c>
      <c r="G26" s="22" t="str">
        <f t="shared" si="1"/>
        <v/>
      </c>
      <c r="H26" s="22" t="str">
        <f t="shared" si="2"/>
        <v/>
      </c>
      <c r="I26" s="22" t="str">
        <f t="shared" si="3"/>
        <v/>
      </c>
      <c r="J26" s="22" t="str">
        <f t="shared" si="4"/>
        <v/>
      </c>
      <c r="K26" s="14"/>
    </row>
    <row r="27" spans="2:11" ht="72.5">
      <c r="B27" s="22" t="s">
        <v>980</v>
      </c>
      <c r="C27" s="23" t="str">
        <f t="shared" si="5"/>
        <v>Not Applicable</v>
      </c>
      <c r="D27" s="23" t="s">
        <v>580</v>
      </c>
      <c r="E27" s="22" t="s">
        <v>1008</v>
      </c>
      <c r="F27" s="22" t="str">
        <f t="shared" si="0"/>
        <v>NA</v>
      </c>
      <c r="G27" s="22" t="str">
        <f t="shared" si="1"/>
        <v/>
      </c>
      <c r="H27" s="22" t="str">
        <f t="shared" si="2"/>
        <v/>
      </c>
      <c r="I27" s="22" t="str">
        <f t="shared" si="3"/>
        <v/>
      </c>
      <c r="J27" s="22" t="str">
        <f t="shared" si="4"/>
        <v/>
      </c>
      <c r="K27" s="14"/>
    </row>
    <row r="28" spans="2:11" ht="87">
      <c r="B28" s="22" t="s">
        <v>981</v>
      </c>
      <c r="C28" s="23" t="str">
        <f t="shared" si="5"/>
        <v>Not Applicable</v>
      </c>
      <c r="D28" s="23" t="s">
        <v>580</v>
      </c>
      <c r="E28" s="22" t="s">
        <v>1009</v>
      </c>
      <c r="F28" s="22" t="str">
        <f t="shared" si="0"/>
        <v>NA</v>
      </c>
      <c r="G28" s="22" t="str">
        <f t="shared" si="1"/>
        <v/>
      </c>
      <c r="H28" s="22" t="str">
        <f t="shared" si="2"/>
        <v/>
      </c>
      <c r="I28" s="22" t="str">
        <f t="shared" si="3"/>
        <v/>
      </c>
      <c r="J28" s="22" t="str">
        <f t="shared" si="4"/>
        <v/>
      </c>
      <c r="K28" s="14"/>
    </row>
    <row r="29" spans="2:11" ht="87">
      <c r="B29" s="22" t="s">
        <v>982</v>
      </c>
      <c r="C29" s="23" t="str">
        <f t="shared" si="5"/>
        <v>Not Applicable</v>
      </c>
      <c r="D29" s="23" t="s">
        <v>580</v>
      </c>
      <c r="E29" s="22" t="s">
        <v>1010</v>
      </c>
      <c r="F29" s="22" t="str">
        <f t="shared" si="0"/>
        <v>NA</v>
      </c>
      <c r="G29" s="22" t="str">
        <f t="shared" si="1"/>
        <v/>
      </c>
      <c r="H29" s="22" t="str">
        <f t="shared" si="2"/>
        <v/>
      </c>
      <c r="I29" s="22" t="str">
        <f t="shared" si="3"/>
        <v/>
      </c>
      <c r="J29" s="22" t="str">
        <f t="shared" si="4"/>
        <v/>
      </c>
      <c r="K29" s="14"/>
    </row>
    <row r="30" spans="2:11" ht="72.5">
      <c r="B30" s="22" t="s">
        <v>983</v>
      </c>
      <c r="C30" s="23" t="str">
        <f t="shared" si="5"/>
        <v>Not Applicable</v>
      </c>
      <c r="D30" s="22" t="s">
        <v>579</v>
      </c>
      <c r="E30" s="22" t="s">
        <v>1011</v>
      </c>
      <c r="F30" s="22" t="str">
        <f t="shared" si="0"/>
        <v>NA</v>
      </c>
      <c r="G30" s="22" t="str">
        <f t="shared" si="1"/>
        <v/>
      </c>
      <c r="H30" s="22" t="str">
        <f t="shared" si="2"/>
        <v/>
      </c>
      <c r="I30" s="22" t="str">
        <f t="shared" si="3"/>
        <v/>
      </c>
      <c r="J30" s="22" t="str">
        <f t="shared" si="4"/>
        <v/>
      </c>
      <c r="K30" s="14"/>
    </row>
    <row r="31" spans="2:11" ht="116">
      <c r="B31" s="22" t="s">
        <v>984</v>
      </c>
      <c r="C31" s="23" t="str">
        <f t="shared" si="5"/>
        <v>Not Applicable</v>
      </c>
      <c r="D31" s="22" t="s">
        <v>578</v>
      </c>
      <c r="E31" s="22" t="s">
        <v>1012</v>
      </c>
      <c r="F31" s="22" t="str">
        <f t="shared" si="0"/>
        <v>NA</v>
      </c>
      <c r="G31" s="22" t="str">
        <f t="shared" si="1"/>
        <v/>
      </c>
      <c r="H31" s="22" t="str">
        <f t="shared" si="2"/>
        <v/>
      </c>
      <c r="I31" s="22" t="str">
        <f t="shared" si="3"/>
        <v/>
      </c>
      <c r="J31" s="22" t="str">
        <f t="shared" si="4"/>
        <v/>
      </c>
      <c r="K31" s="14"/>
    </row>
  </sheetData>
  <conditionalFormatting sqref="C4:C31">
    <cfRule type="containsText" dxfId="149" priority="11" operator="containsText" text="Not Applicable">
      <formula>NOT(ISERROR(SEARCH("Not Applicable",C4)))</formula>
    </cfRule>
    <cfRule type="containsText" dxfId="148" priority="12" operator="containsText" text="Applicable">
      <formula>NOT(ISERROR(SEARCH("Applicable",C4)))</formula>
    </cfRule>
  </conditionalFormatting>
  <conditionalFormatting sqref="F4:F50">
    <cfRule type="containsText" dxfId="147" priority="7" operator="containsText" text="Not">
      <formula>NOT(ISERROR(SEARCH("Not",F4)))</formula>
    </cfRule>
    <cfRule type="containsText" dxfId="146" priority="8" operator="containsText" text="Comply">
      <formula>NOT(ISERROR(SEARCH("Comply",F4)))</formula>
    </cfRule>
  </conditionalFormatting>
  <conditionalFormatting sqref="G4:G31">
    <cfRule type="containsText" dxfId="145" priority="4" operator="containsText" text="Gaps to be stated here">
      <formula>NOT(ISERROR(SEARCH("Gaps to be stated here",G4)))</formula>
    </cfRule>
  </conditionalFormatting>
  <conditionalFormatting sqref="H4:H31">
    <cfRule type="containsText" dxfId="144" priority="5" operator="containsText" text="action to be stated here">
      <formula>NOT(ISERROR(SEARCH("action to be stated here",H4)))</formula>
    </cfRule>
  </conditionalFormatting>
  <conditionalFormatting sqref="I4:I31">
    <cfRule type="containsText" dxfId="143" priority="3" operator="containsText" text="Name of PIC to be stated here">
      <formula>NOT(ISERROR(SEARCH("Name of PIC to be stated here",I4)))</formula>
    </cfRule>
  </conditionalFormatting>
  <conditionalFormatting sqref="J4:J31">
    <cfRule type="containsText" dxfId="142" priority="2" operator="containsText" text="action date to be stated here">
      <formula>NOT(ISERROR(SEARCH("action date to be stated here",J4)))</formula>
    </cfRule>
  </conditionalFormatting>
  <conditionalFormatting sqref="K3">
    <cfRule type="expression" dxfId="141" priority="1">
      <formula>$K$2&gt;0</formula>
    </cfRule>
  </conditionalFormatting>
  <conditionalFormatting sqref="K4:K31">
    <cfRule type="expression" dxfId="14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2812C5A8-0AA6-453C-877B-DCA77D95FD72}">
          <x14:formula1>
            <xm:f>'back-data'!$B$4:$B$6</xm:f>
          </x14:formula1>
          <xm:sqref>D4:D29</xm:sqref>
        </x14:dataValidation>
        <x14:dataValidation type="list" allowBlank="1" showInputMessage="1" showErrorMessage="1" xr:uid="{5369402F-66FB-479B-8A51-C0E3CDA1FEDA}">
          <x14:formula1>
            <xm:f>'back-data'!$B$13:$B$15</xm:f>
          </x14:formula1>
          <xm:sqref>F4:F31</xm:sqref>
        </x14:dataValidation>
        <x14:dataValidation type="list" allowBlank="1" showInputMessage="1" showErrorMessage="1" xr:uid="{D64B2EF1-8A15-4A58-9FFF-289AB46B8DF9}">
          <x14:formula1>
            <xm:f>Action_Tracker_Data!$N$4:$N$13</xm:f>
          </x14:formula1>
          <xm:sqref>K4:K31</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FBABB-06DE-4A63-906D-E38EC0667778}">
  <sheetPr>
    <tabColor rgb="FF006E3C"/>
  </sheetPr>
  <dimension ref="B1:K22"/>
  <sheetViews>
    <sheetView showGridLines="0" topLeftCell="D19" zoomScaleNormal="100" workbookViewId="0">
      <selection activeCell="G26" sqref="G26"/>
    </sheetView>
  </sheetViews>
  <sheetFormatPr defaultRowHeight="14.5"/>
  <cols>
    <col min="1" max="2" width="27.81640625" style="8" customWidth="1"/>
    <col min="3" max="3" width="17.90625" style="8" customWidth="1"/>
    <col min="4" max="4" width="22.36328125" style="8" customWidth="1"/>
    <col min="5" max="5" width="21.906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294</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58.5" thickTop="1">
      <c r="B4" s="22" t="s">
        <v>275</v>
      </c>
      <c r="C4" s="23" t="str">
        <f>IF(OR(Home!B93=TRUE,Home!B105=TRUE,Home!B156=TRUE,Home!B203=TRUE,Home!B262=TRUE,Home!B263=TRUE,Home!B274=TRUE),"Applicable","Not Applicable")</f>
        <v>Not Applicable</v>
      </c>
      <c r="D4" s="22" t="s">
        <v>578</v>
      </c>
      <c r="E4" s="22" t="s">
        <v>31</v>
      </c>
      <c r="F4" s="22" t="str">
        <f t="shared" ref="F4:F22"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72.5">
      <c r="B5" s="22" t="s">
        <v>276</v>
      </c>
      <c r="C5" s="23" t="str">
        <f>C4</f>
        <v>Not Applicable</v>
      </c>
      <c r="D5" s="22" t="s">
        <v>580</v>
      </c>
      <c r="E5" s="22" t="s">
        <v>716</v>
      </c>
      <c r="F5" s="22" t="str">
        <f t="shared" si="0"/>
        <v>NA</v>
      </c>
      <c r="G5" s="22" t="str">
        <f t="shared" ref="G5:G22" si="1">IF(F5="not comply","Gaps to be stated here","")</f>
        <v/>
      </c>
      <c r="H5" s="22" t="str">
        <f t="shared" ref="H5:H22" si="2">IF(F5="not comply","action to be stated here","")</f>
        <v/>
      </c>
      <c r="I5" s="22" t="str">
        <f t="shared" ref="I5:I22" si="3">IF(F5="not comply","Name of PIC to be stated here","")</f>
        <v/>
      </c>
      <c r="J5" s="22" t="str">
        <f t="shared" ref="J5:J22" si="4">IF(F5="not comply","action date to be stated here","")</f>
        <v/>
      </c>
      <c r="K5" s="14"/>
    </row>
    <row r="6" spans="2:11" ht="29">
      <c r="B6" s="22" t="s">
        <v>277</v>
      </c>
      <c r="C6" s="23" t="str">
        <f t="shared" ref="C6:C22" si="5">C5</f>
        <v>Not Applicable</v>
      </c>
      <c r="D6" s="22" t="s">
        <v>578</v>
      </c>
      <c r="E6" s="22" t="s">
        <v>33</v>
      </c>
      <c r="F6" s="22" t="str">
        <f t="shared" si="0"/>
        <v>NA</v>
      </c>
      <c r="G6" s="22" t="str">
        <f t="shared" si="1"/>
        <v/>
      </c>
      <c r="H6" s="22" t="str">
        <f t="shared" si="2"/>
        <v/>
      </c>
      <c r="I6" s="22" t="str">
        <f t="shared" si="3"/>
        <v/>
      </c>
      <c r="J6" s="22" t="str">
        <f t="shared" si="4"/>
        <v/>
      </c>
      <c r="K6" s="14"/>
    </row>
    <row r="7" spans="2:11" ht="43.5">
      <c r="B7" s="22" t="s">
        <v>278</v>
      </c>
      <c r="C7" s="23" t="str">
        <f t="shared" si="5"/>
        <v>Not Applicable</v>
      </c>
      <c r="D7" s="22" t="s">
        <v>578</v>
      </c>
      <c r="E7" s="22" t="s">
        <v>32</v>
      </c>
      <c r="F7" s="22" t="str">
        <f t="shared" si="0"/>
        <v>NA</v>
      </c>
      <c r="G7" s="22" t="str">
        <f t="shared" si="1"/>
        <v/>
      </c>
      <c r="H7" s="22" t="str">
        <f t="shared" si="2"/>
        <v/>
      </c>
      <c r="I7" s="22" t="str">
        <f t="shared" si="3"/>
        <v/>
      </c>
      <c r="J7" s="22" t="str">
        <f t="shared" si="4"/>
        <v/>
      </c>
      <c r="K7" s="14"/>
    </row>
    <row r="8" spans="2:11" ht="43.5">
      <c r="B8" s="22" t="s">
        <v>279</v>
      </c>
      <c r="C8" s="23" t="str">
        <f t="shared" si="5"/>
        <v>Not Applicable</v>
      </c>
      <c r="D8" s="22" t="s">
        <v>580</v>
      </c>
      <c r="E8" s="22" t="s">
        <v>723</v>
      </c>
      <c r="F8" s="22" t="str">
        <f t="shared" si="0"/>
        <v>NA</v>
      </c>
      <c r="G8" s="22" t="str">
        <f t="shared" si="1"/>
        <v/>
      </c>
      <c r="H8" s="22" t="str">
        <f t="shared" si="2"/>
        <v/>
      </c>
      <c r="I8" s="22" t="str">
        <f t="shared" si="3"/>
        <v/>
      </c>
      <c r="J8" s="22" t="str">
        <f t="shared" si="4"/>
        <v/>
      </c>
      <c r="K8" s="14"/>
    </row>
    <row r="9" spans="2:11" ht="58">
      <c r="B9" s="22" t="s">
        <v>280</v>
      </c>
      <c r="C9" s="23" t="str">
        <f t="shared" si="5"/>
        <v>Not Applicable</v>
      </c>
      <c r="D9" s="22" t="s">
        <v>580</v>
      </c>
      <c r="E9" s="22" t="s">
        <v>717</v>
      </c>
      <c r="F9" s="22" t="str">
        <f t="shared" si="0"/>
        <v>NA</v>
      </c>
      <c r="G9" s="22" t="str">
        <f t="shared" si="1"/>
        <v/>
      </c>
      <c r="H9" s="22" t="str">
        <f t="shared" si="2"/>
        <v/>
      </c>
      <c r="I9" s="22" t="str">
        <f t="shared" si="3"/>
        <v/>
      </c>
      <c r="J9" s="22" t="str">
        <f t="shared" si="4"/>
        <v/>
      </c>
      <c r="K9" s="14"/>
    </row>
    <row r="10" spans="2:11" ht="72.5">
      <c r="B10" s="22" t="s">
        <v>281</v>
      </c>
      <c r="C10" s="23" t="str">
        <f t="shared" si="5"/>
        <v>Not Applicable</v>
      </c>
      <c r="D10" s="22" t="s">
        <v>580</v>
      </c>
      <c r="E10" s="22" t="s">
        <v>718</v>
      </c>
      <c r="F10" s="22" t="str">
        <f t="shared" si="0"/>
        <v>NA</v>
      </c>
      <c r="G10" s="22" t="str">
        <f t="shared" si="1"/>
        <v/>
      </c>
      <c r="H10" s="22" t="str">
        <f t="shared" si="2"/>
        <v/>
      </c>
      <c r="I10" s="22" t="str">
        <f t="shared" si="3"/>
        <v/>
      </c>
      <c r="J10" s="22" t="str">
        <f t="shared" si="4"/>
        <v/>
      </c>
      <c r="K10" s="14"/>
    </row>
    <row r="11" spans="2:11" ht="29">
      <c r="B11" s="22" t="s">
        <v>282</v>
      </c>
      <c r="C11" s="23" t="str">
        <f t="shared" si="5"/>
        <v>Not Applicable</v>
      </c>
      <c r="D11" s="22" t="s">
        <v>578</v>
      </c>
      <c r="E11" s="22" t="s">
        <v>32</v>
      </c>
      <c r="F11" s="22" t="str">
        <f t="shared" si="0"/>
        <v>NA</v>
      </c>
      <c r="G11" s="22" t="str">
        <f t="shared" si="1"/>
        <v/>
      </c>
      <c r="H11" s="22" t="str">
        <f t="shared" si="2"/>
        <v/>
      </c>
      <c r="I11" s="22" t="str">
        <f t="shared" si="3"/>
        <v/>
      </c>
      <c r="J11" s="22" t="str">
        <f t="shared" si="4"/>
        <v/>
      </c>
      <c r="K11" s="14"/>
    </row>
    <row r="12" spans="2:11" ht="58">
      <c r="B12" s="22" t="s">
        <v>283</v>
      </c>
      <c r="C12" s="23" t="str">
        <f t="shared" si="5"/>
        <v>Not Applicable</v>
      </c>
      <c r="D12" s="22" t="s">
        <v>580</v>
      </c>
      <c r="E12" s="22" t="s">
        <v>719</v>
      </c>
      <c r="F12" s="22" t="str">
        <f t="shared" si="0"/>
        <v>NA</v>
      </c>
      <c r="G12" s="22" t="str">
        <f t="shared" si="1"/>
        <v/>
      </c>
      <c r="H12" s="22" t="str">
        <f t="shared" si="2"/>
        <v/>
      </c>
      <c r="I12" s="22" t="str">
        <f t="shared" si="3"/>
        <v/>
      </c>
      <c r="J12" s="22" t="str">
        <f t="shared" si="4"/>
        <v/>
      </c>
      <c r="K12" s="14"/>
    </row>
    <row r="13" spans="2:11" ht="43.5">
      <c r="B13" s="22" t="s">
        <v>284</v>
      </c>
      <c r="C13" s="23" t="str">
        <f t="shared" si="5"/>
        <v>Not Applicable</v>
      </c>
      <c r="D13" s="22" t="s">
        <v>578</v>
      </c>
      <c r="E13" s="22" t="s">
        <v>31</v>
      </c>
      <c r="F13" s="22" t="str">
        <f t="shared" si="0"/>
        <v>NA</v>
      </c>
      <c r="G13" s="22" t="str">
        <f t="shared" si="1"/>
        <v/>
      </c>
      <c r="H13" s="22" t="str">
        <f t="shared" si="2"/>
        <v/>
      </c>
      <c r="I13" s="22" t="str">
        <f t="shared" si="3"/>
        <v/>
      </c>
      <c r="J13" s="22" t="str">
        <f t="shared" si="4"/>
        <v/>
      </c>
      <c r="K13" s="14"/>
    </row>
    <row r="14" spans="2:11" ht="43.5">
      <c r="B14" s="22" t="s">
        <v>285</v>
      </c>
      <c r="C14" s="23" t="str">
        <f t="shared" si="5"/>
        <v>Not Applicable</v>
      </c>
      <c r="D14" s="22" t="s">
        <v>580</v>
      </c>
      <c r="E14" s="22" t="s">
        <v>30</v>
      </c>
      <c r="F14" s="22" t="str">
        <f t="shared" si="0"/>
        <v>NA</v>
      </c>
      <c r="G14" s="22" t="str">
        <f t="shared" si="1"/>
        <v/>
      </c>
      <c r="H14" s="22" t="str">
        <f t="shared" si="2"/>
        <v/>
      </c>
      <c r="I14" s="22" t="str">
        <f t="shared" si="3"/>
        <v/>
      </c>
      <c r="J14" s="22" t="str">
        <f t="shared" si="4"/>
        <v/>
      </c>
      <c r="K14" s="14"/>
    </row>
    <row r="15" spans="2:11" ht="87">
      <c r="B15" s="22" t="s">
        <v>286</v>
      </c>
      <c r="C15" s="23" t="str">
        <f t="shared" si="5"/>
        <v>Not Applicable</v>
      </c>
      <c r="D15" s="22" t="s">
        <v>580</v>
      </c>
      <c r="E15" s="22" t="s">
        <v>720</v>
      </c>
      <c r="F15" s="22" t="str">
        <f t="shared" si="0"/>
        <v>NA</v>
      </c>
      <c r="G15" s="22" t="str">
        <f t="shared" si="1"/>
        <v/>
      </c>
      <c r="H15" s="22" t="str">
        <f t="shared" si="2"/>
        <v/>
      </c>
      <c r="I15" s="22" t="str">
        <f t="shared" si="3"/>
        <v/>
      </c>
      <c r="J15" s="22" t="str">
        <f t="shared" si="4"/>
        <v/>
      </c>
      <c r="K15" s="14"/>
    </row>
    <row r="16" spans="2:11" ht="43.5">
      <c r="B16" s="22" t="s">
        <v>287</v>
      </c>
      <c r="C16" s="23" t="str">
        <f t="shared" si="5"/>
        <v>Not Applicable</v>
      </c>
      <c r="D16" s="22" t="s">
        <v>580</v>
      </c>
      <c r="E16" s="22" t="s">
        <v>37</v>
      </c>
      <c r="F16" s="22" t="str">
        <f t="shared" si="0"/>
        <v>NA</v>
      </c>
      <c r="G16" s="22" t="str">
        <f t="shared" si="1"/>
        <v/>
      </c>
      <c r="H16" s="22" t="str">
        <f t="shared" si="2"/>
        <v/>
      </c>
      <c r="I16" s="22" t="str">
        <f t="shared" si="3"/>
        <v/>
      </c>
      <c r="J16" s="22" t="str">
        <f t="shared" si="4"/>
        <v/>
      </c>
      <c r="K16" s="14"/>
    </row>
    <row r="17" spans="2:11" ht="58">
      <c r="B17" s="22" t="s">
        <v>288</v>
      </c>
      <c r="C17" s="23" t="str">
        <f t="shared" si="5"/>
        <v>Not Applicable</v>
      </c>
      <c r="D17" s="22" t="s">
        <v>578</v>
      </c>
      <c r="E17" s="22" t="s">
        <v>724</v>
      </c>
      <c r="F17" s="22" t="str">
        <f t="shared" si="0"/>
        <v>NA</v>
      </c>
      <c r="G17" s="22" t="str">
        <f t="shared" si="1"/>
        <v/>
      </c>
      <c r="H17" s="22" t="str">
        <f t="shared" si="2"/>
        <v/>
      </c>
      <c r="I17" s="22" t="str">
        <f t="shared" si="3"/>
        <v/>
      </c>
      <c r="J17" s="22" t="str">
        <f t="shared" si="4"/>
        <v/>
      </c>
      <c r="K17" s="14"/>
    </row>
    <row r="18" spans="2:11" ht="58">
      <c r="B18" s="22" t="s">
        <v>289</v>
      </c>
      <c r="C18" s="23" t="str">
        <f t="shared" si="5"/>
        <v>Not Applicable</v>
      </c>
      <c r="D18" s="22" t="s">
        <v>580</v>
      </c>
      <c r="E18" s="22" t="s">
        <v>721</v>
      </c>
      <c r="F18" s="22" t="str">
        <f t="shared" si="0"/>
        <v>NA</v>
      </c>
      <c r="G18" s="22" t="str">
        <f t="shared" si="1"/>
        <v/>
      </c>
      <c r="H18" s="22" t="str">
        <f t="shared" si="2"/>
        <v/>
      </c>
      <c r="I18" s="22" t="str">
        <f t="shared" si="3"/>
        <v/>
      </c>
      <c r="J18" s="22" t="str">
        <f t="shared" si="4"/>
        <v/>
      </c>
      <c r="K18" s="14"/>
    </row>
    <row r="19" spans="2:11" ht="43.5">
      <c r="B19" s="22" t="s">
        <v>290</v>
      </c>
      <c r="C19" s="23" t="str">
        <f t="shared" si="5"/>
        <v>Not Applicable</v>
      </c>
      <c r="D19" s="22" t="s">
        <v>579</v>
      </c>
      <c r="E19" s="22" t="s">
        <v>36</v>
      </c>
      <c r="F19" s="22" t="str">
        <f t="shared" si="0"/>
        <v>NA</v>
      </c>
      <c r="G19" s="22" t="str">
        <f t="shared" si="1"/>
        <v/>
      </c>
      <c r="H19" s="22" t="str">
        <f t="shared" si="2"/>
        <v/>
      </c>
      <c r="I19" s="22" t="str">
        <f t="shared" si="3"/>
        <v/>
      </c>
      <c r="J19" s="22" t="str">
        <f t="shared" si="4"/>
        <v/>
      </c>
      <c r="K19" s="14"/>
    </row>
    <row r="20" spans="2:11" ht="72.5">
      <c r="B20" s="22" t="s">
        <v>291</v>
      </c>
      <c r="C20" s="23" t="str">
        <f t="shared" si="5"/>
        <v>Not Applicable</v>
      </c>
      <c r="D20" s="22" t="s">
        <v>580</v>
      </c>
      <c r="E20" s="22" t="s">
        <v>722</v>
      </c>
      <c r="F20" s="22" t="str">
        <f t="shared" si="0"/>
        <v>NA</v>
      </c>
      <c r="G20" s="22" t="str">
        <f t="shared" si="1"/>
        <v/>
      </c>
      <c r="H20" s="22" t="str">
        <f t="shared" si="2"/>
        <v/>
      </c>
      <c r="I20" s="22" t="str">
        <f t="shared" si="3"/>
        <v/>
      </c>
      <c r="J20" s="22" t="str">
        <f t="shared" si="4"/>
        <v/>
      </c>
      <c r="K20" s="14"/>
    </row>
    <row r="21" spans="2:11" ht="43.5">
      <c r="B21" s="22" t="s">
        <v>292</v>
      </c>
      <c r="C21" s="23" t="str">
        <f t="shared" si="5"/>
        <v>Not Applicable</v>
      </c>
      <c r="D21" s="22" t="s">
        <v>580</v>
      </c>
      <c r="E21" s="22" t="s">
        <v>55</v>
      </c>
      <c r="F21" s="22" t="str">
        <f t="shared" si="0"/>
        <v>NA</v>
      </c>
      <c r="G21" s="22" t="str">
        <f t="shared" si="1"/>
        <v/>
      </c>
      <c r="H21" s="22" t="str">
        <f t="shared" si="2"/>
        <v/>
      </c>
      <c r="I21" s="22" t="str">
        <f t="shared" si="3"/>
        <v/>
      </c>
      <c r="J21" s="22" t="str">
        <f t="shared" si="4"/>
        <v/>
      </c>
      <c r="K21" s="14"/>
    </row>
    <row r="22" spans="2:11" ht="43.5">
      <c r="B22" s="22" t="s">
        <v>293</v>
      </c>
      <c r="C22" s="23" t="str">
        <f t="shared" si="5"/>
        <v>Not Applicable</v>
      </c>
      <c r="D22" s="22" t="s">
        <v>578</v>
      </c>
      <c r="E22" s="22" t="s">
        <v>31</v>
      </c>
      <c r="F22" s="22" t="str">
        <f t="shared" si="0"/>
        <v>NA</v>
      </c>
      <c r="G22" s="22" t="str">
        <f t="shared" si="1"/>
        <v/>
      </c>
      <c r="H22" s="22" t="str">
        <f t="shared" si="2"/>
        <v/>
      </c>
      <c r="I22" s="22" t="str">
        <f t="shared" si="3"/>
        <v/>
      </c>
      <c r="J22" s="22" t="str">
        <f t="shared" si="4"/>
        <v/>
      </c>
      <c r="K22" s="14"/>
    </row>
  </sheetData>
  <conditionalFormatting sqref="C4:C220">
    <cfRule type="containsText" dxfId="139" priority="11" operator="containsText" text="Not Applicable">
      <formula>NOT(ISERROR(SEARCH("Not Applicable",C4)))</formula>
    </cfRule>
    <cfRule type="containsText" dxfId="138" priority="12" operator="containsText" text="Applicable">
      <formula>NOT(ISERROR(SEARCH("Applicable",C4)))</formula>
    </cfRule>
  </conditionalFormatting>
  <conditionalFormatting sqref="F4:F50">
    <cfRule type="containsText" dxfId="137" priority="7" operator="containsText" text="Not">
      <formula>NOT(ISERROR(SEARCH("Not",F4)))</formula>
    </cfRule>
    <cfRule type="containsText" dxfId="136" priority="8" operator="containsText" text="Comply">
      <formula>NOT(ISERROR(SEARCH("Comply",F4)))</formula>
    </cfRule>
  </conditionalFormatting>
  <conditionalFormatting sqref="G4:G22">
    <cfRule type="containsText" dxfId="135" priority="4" operator="containsText" text="Gaps to be stated here">
      <formula>NOT(ISERROR(SEARCH("Gaps to be stated here",G4)))</formula>
    </cfRule>
  </conditionalFormatting>
  <conditionalFormatting sqref="H4:H22">
    <cfRule type="containsText" dxfId="134" priority="5" operator="containsText" text="action to be stated here">
      <formula>NOT(ISERROR(SEARCH("action to be stated here",H4)))</formula>
    </cfRule>
  </conditionalFormatting>
  <conditionalFormatting sqref="I4:I22">
    <cfRule type="containsText" dxfId="133" priority="3" operator="containsText" text="Name of PIC to be stated here">
      <formula>NOT(ISERROR(SEARCH("Name of PIC to be stated here",I4)))</formula>
    </cfRule>
  </conditionalFormatting>
  <conditionalFormatting sqref="J4:J22">
    <cfRule type="containsText" dxfId="132" priority="2" operator="containsText" text="action date to be stated here">
      <formula>NOT(ISERROR(SEARCH("action date to be stated here",J4)))</formula>
    </cfRule>
  </conditionalFormatting>
  <conditionalFormatting sqref="K3">
    <cfRule type="expression" dxfId="131" priority="1">
      <formula>$K$2&gt;0</formula>
    </cfRule>
  </conditionalFormatting>
  <conditionalFormatting sqref="K4:K22">
    <cfRule type="expression" dxfId="13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A7F6581-BF63-47A1-AFF2-FB4EA6051419}">
          <x14:formula1>
            <xm:f>'back-data'!$B$4:$B$6</xm:f>
          </x14:formula1>
          <xm:sqref>D4:D22</xm:sqref>
        </x14:dataValidation>
        <x14:dataValidation type="list" allowBlank="1" showInputMessage="1" showErrorMessage="1" xr:uid="{26A8F0D8-9C1F-4CC0-A13F-A74C4B2298D2}">
          <x14:formula1>
            <xm:f>'back-data'!$B$13:$B$15</xm:f>
          </x14:formula1>
          <xm:sqref>F4:F22</xm:sqref>
        </x14:dataValidation>
        <x14:dataValidation type="list" allowBlank="1" showInputMessage="1" showErrorMessage="1" xr:uid="{2B0DC3F5-81FB-4F00-8DE5-1B74259F6F5A}">
          <x14:formula1>
            <xm:f>Action_Tracker_Data!$O$4:$O$13</xm:f>
          </x14:formula1>
          <xm:sqref>K4:K22</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E3EEC-EE70-4BB7-B2FE-CB978C88E12F}">
  <sheetPr>
    <tabColor rgb="FF006E3C"/>
  </sheetPr>
  <dimension ref="B1:K23"/>
  <sheetViews>
    <sheetView showGridLines="0" showRowColHeaders="0" topLeftCell="E22" zoomScale="108" zoomScaleNormal="108" workbookViewId="0">
      <selection activeCell="K33" sqref="K33"/>
    </sheetView>
  </sheetViews>
  <sheetFormatPr defaultRowHeight="14.5"/>
  <cols>
    <col min="1" max="1" width="27.81640625" customWidth="1"/>
    <col min="2" max="2" width="40.90625" style="8" customWidth="1"/>
    <col min="3" max="3" width="15" style="8" customWidth="1"/>
    <col min="4" max="5" width="26.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customWidth="1"/>
  </cols>
  <sheetData>
    <row r="1" spans="2:11" ht="16">
      <c r="B1" s="10" t="s">
        <v>2051</v>
      </c>
      <c r="F1" s="15"/>
    </row>
    <row r="2" spans="2:11">
      <c r="F2" s="15"/>
      <c r="K2" s="132">
        <f>COUNTIF(F4:F29,"Not Comply")</f>
        <v>0</v>
      </c>
    </row>
    <row r="3" spans="2:11" s="8" customFormat="1" ht="29.5" thickBot="1">
      <c r="B3" s="21" t="s">
        <v>115</v>
      </c>
      <c r="C3" s="21" t="s">
        <v>48</v>
      </c>
      <c r="D3" s="21" t="s">
        <v>57</v>
      </c>
      <c r="E3" s="21" t="s">
        <v>1812</v>
      </c>
      <c r="F3" s="21" t="s">
        <v>1410</v>
      </c>
      <c r="G3" s="21" t="s">
        <v>1845</v>
      </c>
      <c r="H3" s="21" t="s">
        <v>1846</v>
      </c>
      <c r="I3" s="21" t="s">
        <v>1847</v>
      </c>
      <c r="J3" s="21" t="s">
        <v>1848</v>
      </c>
      <c r="K3" s="132" t="s">
        <v>2036</v>
      </c>
    </row>
    <row r="4" spans="2:11" ht="29.5" thickTop="1">
      <c r="B4" s="32" t="s">
        <v>533</v>
      </c>
      <c r="C4" s="29" t="str">
        <f>IF(Home!B144=TRUE,"Applicable","Not Applicable")</f>
        <v>Not Applicable</v>
      </c>
      <c r="D4" s="29" t="s">
        <v>580</v>
      </c>
      <c r="E4" s="32" t="s">
        <v>534</v>
      </c>
      <c r="F4" s="22" t="str">
        <f t="shared" ref="F4:F23"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43.5">
      <c r="B5" s="22" t="s">
        <v>535</v>
      </c>
      <c r="C5" s="23" t="str">
        <f>C4</f>
        <v>Not Applicable</v>
      </c>
      <c r="D5" s="23" t="s">
        <v>580</v>
      </c>
      <c r="E5" s="22" t="s">
        <v>536</v>
      </c>
      <c r="F5" s="22" t="str">
        <f t="shared" si="0"/>
        <v>NA</v>
      </c>
      <c r="G5" s="22" t="str">
        <f t="shared" ref="G5:G23" si="1">IF(F5="not comply","Gaps to be stated here","")</f>
        <v/>
      </c>
      <c r="H5" s="22" t="str">
        <f t="shared" ref="H5:H23" si="2">IF(F5="not comply","action to be stated here","")</f>
        <v/>
      </c>
      <c r="I5" s="22" t="str">
        <f t="shared" ref="I5:I23" si="3">IF(F5="not comply","Name of PIC to be stated here","")</f>
        <v/>
      </c>
      <c r="J5" s="22" t="str">
        <f t="shared" ref="J5:J23" si="4">IF(F5="not comply","action date to be stated here","")</f>
        <v/>
      </c>
      <c r="K5" s="14"/>
    </row>
    <row r="6" spans="2:11" ht="29">
      <c r="B6" s="22" t="s">
        <v>537</v>
      </c>
      <c r="C6" s="23" t="str">
        <f t="shared" ref="C6:C23" si="5">C5</f>
        <v>Not Applicable</v>
      </c>
      <c r="D6" s="23" t="s">
        <v>580</v>
      </c>
      <c r="E6" s="22" t="s">
        <v>538</v>
      </c>
      <c r="F6" s="22" t="str">
        <f t="shared" si="0"/>
        <v>NA</v>
      </c>
      <c r="G6" s="22" t="str">
        <f t="shared" si="1"/>
        <v/>
      </c>
      <c r="H6" s="22" t="str">
        <f t="shared" si="2"/>
        <v/>
      </c>
      <c r="I6" s="22" t="str">
        <f t="shared" si="3"/>
        <v/>
      </c>
      <c r="J6" s="22" t="str">
        <f t="shared" si="4"/>
        <v/>
      </c>
      <c r="K6" s="14"/>
    </row>
    <row r="7" spans="2:11" ht="29">
      <c r="B7" s="22" t="s">
        <v>539</v>
      </c>
      <c r="C7" s="23" t="str">
        <f t="shared" si="5"/>
        <v>Not Applicable</v>
      </c>
      <c r="D7" s="23" t="s">
        <v>580</v>
      </c>
      <c r="E7" s="22" t="s">
        <v>540</v>
      </c>
      <c r="F7" s="22" t="str">
        <f t="shared" si="0"/>
        <v>NA</v>
      </c>
      <c r="G7" s="22" t="str">
        <f t="shared" si="1"/>
        <v/>
      </c>
      <c r="H7" s="22" t="str">
        <f t="shared" si="2"/>
        <v/>
      </c>
      <c r="I7" s="22" t="str">
        <f t="shared" si="3"/>
        <v/>
      </c>
      <c r="J7" s="22" t="str">
        <f t="shared" si="4"/>
        <v/>
      </c>
      <c r="K7" s="14"/>
    </row>
    <row r="8" spans="2:11" ht="29">
      <c r="B8" s="22" t="s">
        <v>541</v>
      </c>
      <c r="C8" s="23" t="str">
        <f t="shared" si="5"/>
        <v>Not Applicable</v>
      </c>
      <c r="D8" s="23" t="s">
        <v>580</v>
      </c>
      <c r="E8" s="22" t="s">
        <v>542</v>
      </c>
      <c r="F8" s="22" t="str">
        <f t="shared" si="0"/>
        <v>NA</v>
      </c>
      <c r="G8" s="22" t="str">
        <f t="shared" si="1"/>
        <v/>
      </c>
      <c r="H8" s="22" t="str">
        <f t="shared" si="2"/>
        <v/>
      </c>
      <c r="I8" s="22" t="str">
        <f t="shared" si="3"/>
        <v/>
      </c>
      <c r="J8" s="22" t="str">
        <f t="shared" si="4"/>
        <v/>
      </c>
      <c r="K8" s="14"/>
    </row>
    <row r="9" spans="2:11" ht="29">
      <c r="B9" s="22" t="s">
        <v>543</v>
      </c>
      <c r="C9" s="23" t="str">
        <f t="shared" si="5"/>
        <v>Not Applicable</v>
      </c>
      <c r="D9" s="23" t="s">
        <v>580</v>
      </c>
      <c r="E9" s="22" t="s">
        <v>544</v>
      </c>
      <c r="F9" s="22" t="str">
        <f t="shared" si="0"/>
        <v>NA</v>
      </c>
      <c r="G9" s="22" t="str">
        <f t="shared" si="1"/>
        <v/>
      </c>
      <c r="H9" s="22" t="str">
        <f t="shared" si="2"/>
        <v/>
      </c>
      <c r="I9" s="22" t="str">
        <f t="shared" si="3"/>
        <v/>
      </c>
      <c r="J9" s="22" t="str">
        <f t="shared" si="4"/>
        <v/>
      </c>
      <c r="K9" s="14"/>
    </row>
    <row r="10" spans="2:11" ht="29">
      <c r="B10" s="22" t="s">
        <v>545</v>
      </c>
      <c r="C10" s="23" t="str">
        <f t="shared" si="5"/>
        <v>Not Applicable</v>
      </c>
      <c r="D10" s="23" t="s">
        <v>580</v>
      </c>
      <c r="E10" s="22" t="s">
        <v>546</v>
      </c>
      <c r="F10" s="22" t="str">
        <f t="shared" si="0"/>
        <v>NA</v>
      </c>
      <c r="G10" s="22" t="str">
        <f t="shared" si="1"/>
        <v/>
      </c>
      <c r="H10" s="22" t="str">
        <f t="shared" si="2"/>
        <v/>
      </c>
      <c r="I10" s="22" t="str">
        <f t="shared" si="3"/>
        <v/>
      </c>
      <c r="J10" s="22" t="str">
        <f t="shared" si="4"/>
        <v/>
      </c>
      <c r="K10" s="14"/>
    </row>
    <row r="11" spans="2:11" ht="29">
      <c r="B11" s="22" t="s">
        <v>547</v>
      </c>
      <c r="C11" s="23" t="str">
        <f t="shared" si="5"/>
        <v>Not Applicable</v>
      </c>
      <c r="D11" s="23" t="s">
        <v>580</v>
      </c>
      <c r="E11" s="22" t="s">
        <v>548</v>
      </c>
      <c r="F11" s="22" t="str">
        <f t="shared" si="0"/>
        <v>NA</v>
      </c>
      <c r="G11" s="22" t="str">
        <f t="shared" si="1"/>
        <v/>
      </c>
      <c r="H11" s="22" t="str">
        <f t="shared" si="2"/>
        <v/>
      </c>
      <c r="I11" s="22" t="str">
        <f t="shared" si="3"/>
        <v/>
      </c>
      <c r="J11" s="22" t="str">
        <f t="shared" si="4"/>
        <v/>
      </c>
      <c r="K11" s="14"/>
    </row>
    <row r="12" spans="2:11" ht="29">
      <c r="B12" s="22" t="s">
        <v>549</v>
      </c>
      <c r="C12" s="23" t="str">
        <f t="shared" si="5"/>
        <v>Not Applicable</v>
      </c>
      <c r="D12" s="23" t="s">
        <v>580</v>
      </c>
      <c r="E12" s="22" t="s">
        <v>550</v>
      </c>
      <c r="F12" s="22" t="str">
        <f t="shared" si="0"/>
        <v>NA</v>
      </c>
      <c r="G12" s="22" t="str">
        <f t="shared" si="1"/>
        <v/>
      </c>
      <c r="H12" s="22" t="str">
        <f t="shared" si="2"/>
        <v/>
      </c>
      <c r="I12" s="22" t="str">
        <f t="shared" si="3"/>
        <v/>
      </c>
      <c r="J12" s="22" t="str">
        <f t="shared" si="4"/>
        <v/>
      </c>
      <c r="K12" s="14"/>
    </row>
    <row r="13" spans="2:11" ht="29">
      <c r="B13" s="22" t="s">
        <v>551</v>
      </c>
      <c r="C13" s="23" t="str">
        <f t="shared" si="5"/>
        <v>Not Applicable</v>
      </c>
      <c r="D13" s="23" t="s">
        <v>580</v>
      </c>
      <c r="E13" s="22" t="s">
        <v>552</v>
      </c>
      <c r="F13" s="22" t="str">
        <f t="shared" si="0"/>
        <v>NA</v>
      </c>
      <c r="G13" s="22" t="str">
        <f t="shared" si="1"/>
        <v/>
      </c>
      <c r="H13" s="22" t="str">
        <f t="shared" si="2"/>
        <v/>
      </c>
      <c r="I13" s="22" t="str">
        <f t="shared" si="3"/>
        <v/>
      </c>
      <c r="J13" s="22" t="str">
        <f t="shared" si="4"/>
        <v/>
      </c>
      <c r="K13" s="14"/>
    </row>
    <row r="14" spans="2:11" ht="29">
      <c r="B14" s="22" t="s">
        <v>553</v>
      </c>
      <c r="C14" s="23" t="str">
        <f t="shared" si="5"/>
        <v>Not Applicable</v>
      </c>
      <c r="D14" s="23" t="s">
        <v>580</v>
      </c>
      <c r="E14" s="22" t="s">
        <v>554</v>
      </c>
      <c r="F14" s="22" t="str">
        <f t="shared" si="0"/>
        <v>NA</v>
      </c>
      <c r="G14" s="22" t="str">
        <f t="shared" si="1"/>
        <v/>
      </c>
      <c r="H14" s="22" t="str">
        <f t="shared" si="2"/>
        <v/>
      </c>
      <c r="I14" s="22" t="str">
        <f t="shared" si="3"/>
        <v/>
      </c>
      <c r="J14" s="22" t="str">
        <f t="shared" si="4"/>
        <v/>
      </c>
      <c r="K14" s="14"/>
    </row>
    <row r="15" spans="2:11" ht="29">
      <c r="B15" s="22" t="s">
        <v>555</v>
      </c>
      <c r="C15" s="23" t="str">
        <f t="shared" si="5"/>
        <v>Not Applicable</v>
      </c>
      <c r="D15" s="23" t="s">
        <v>579</v>
      </c>
      <c r="E15" s="22" t="s">
        <v>556</v>
      </c>
      <c r="F15" s="22" t="str">
        <f t="shared" si="0"/>
        <v>NA</v>
      </c>
      <c r="G15" s="22" t="str">
        <f t="shared" si="1"/>
        <v/>
      </c>
      <c r="H15" s="22" t="str">
        <f t="shared" si="2"/>
        <v/>
      </c>
      <c r="I15" s="22" t="str">
        <f t="shared" si="3"/>
        <v/>
      </c>
      <c r="J15" s="22" t="str">
        <f t="shared" si="4"/>
        <v/>
      </c>
      <c r="K15" s="14"/>
    </row>
    <row r="16" spans="2:11" ht="43.5">
      <c r="B16" s="22" t="s">
        <v>557</v>
      </c>
      <c r="C16" s="23" t="str">
        <f t="shared" si="5"/>
        <v>Not Applicable</v>
      </c>
      <c r="D16" s="23" t="s">
        <v>580</v>
      </c>
      <c r="E16" s="22" t="s">
        <v>558</v>
      </c>
      <c r="F16" s="22" t="str">
        <f t="shared" si="0"/>
        <v>NA</v>
      </c>
      <c r="G16" s="22" t="str">
        <f t="shared" si="1"/>
        <v/>
      </c>
      <c r="H16" s="22" t="str">
        <f t="shared" si="2"/>
        <v/>
      </c>
      <c r="I16" s="22" t="str">
        <f t="shared" si="3"/>
        <v/>
      </c>
      <c r="J16" s="22" t="str">
        <f t="shared" si="4"/>
        <v/>
      </c>
      <c r="K16" s="14"/>
    </row>
    <row r="17" spans="2:11" ht="29">
      <c r="B17" s="22" t="s">
        <v>559</v>
      </c>
      <c r="C17" s="23" t="str">
        <f t="shared" si="5"/>
        <v>Not Applicable</v>
      </c>
      <c r="D17" s="23" t="s">
        <v>579</v>
      </c>
      <c r="E17" s="22" t="s">
        <v>560</v>
      </c>
      <c r="F17" s="22" t="str">
        <f t="shared" si="0"/>
        <v>NA</v>
      </c>
      <c r="G17" s="22" t="str">
        <f t="shared" si="1"/>
        <v/>
      </c>
      <c r="H17" s="22" t="str">
        <f t="shared" si="2"/>
        <v/>
      </c>
      <c r="I17" s="22" t="str">
        <f t="shared" si="3"/>
        <v/>
      </c>
      <c r="J17" s="22" t="str">
        <f t="shared" si="4"/>
        <v/>
      </c>
      <c r="K17" s="14"/>
    </row>
    <row r="18" spans="2:11" ht="29">
      <c r="B18" s="22" t="s">
        <v>561</v>
      </c>
      <c r="C18" s="23" t="str">
        <f t="shared" si="5"/>
        <v>Not Applicable</v>
      </c>
      <c r="D18" s="23" t="s">
        <v>580</v>
      </c>
      <c r="E18" s="22" t="s">
        <v>562</v>
      </c>
      <c r="F18" s="22" t="str">
        <f t="shared" si="0"/>
        <v>NA</v>
      </c>
      <c r="G18" s="22" t="str">
        <f t="shared" si="1"/>
        <v/>
      </c>
      <c r="H18" s="22" t="str">
        <f t="shared" si="2"/>
        <v/>
      </c>
      <c r="I18" s="22" t="str">
        <f t="shared" si="3"/>
        <v/>
      </c>
      <c r="J18" s="22" t="str">
        <f t="shared" si="4"/>
        <v/>
      </c>
      <c r="K18" s="14"/>
    </row>
    <row r="19" spans="2:11" ht="29">
      <c r="B19" s="22" t="s">
        <v>563</v>
      </c>
      <c r="C19" s="23" t="str">
        <f t="shared" si="5"/>
        <v>Not Applicable</v>
      </c>
      <c r="D19" s="23" t="s">
        <v>579</v>
      </c>
      <c r="E19" s="22" t="s">
        <v>564</v>
      </c>
      <c r="F19" s="22" t="str">
        <f t="shared" si="0"/>
        <v>NA</v>
      </c>
      <c r="G19" s="22" t="str">
        <f t="shared" si="1"/>
        <v/>
      </c>
      <c r="H19" s="22" t="str">
        <f t="shared" si="2"/>
        <v/>
      </c>
      <c r="I19" s="22" t="str">
        <f t="shared" si="3"/>
        <v/>
      </c>
      <c r="J19" s="22" t="str">
        <f t="shared" si="4"/>
        <v/>
      </c>
      <c r="K19" s="14"/>
    </row>
    <row r="20" spans="2:11" ht="29">
      <c r="B20" s="22" t="s">
        <v>565</v>
      </c>
      <c r="C20" s="23" t="str">
        <f t="shared" si="5"/>
        <v>Not Applicable</v>
      </c>
      <c r="D20" s="23" t="s">
        <v>580</v>
      </c>
      <c r="E20" s="22" t="s">
        <v>566</v>
      </c>
      <c r="F20" s="22" t="str">
        <f t="shared" si="0"/>
        <v>NA</v>
      </c>
      <c r="G20" s="22" t="str">
        <f t="shared" si="1"/>
        <v/>
      </c>
      <c r="H20" s="22" t="str">
        <f t="shared" si="2"/>
        <v/>
      </c>
      <c r="I20" s="22" t="str">
        <f t="shared" si="3"/>
        <v/>
      </c>
      <c r="J20" s="22" t="str">
        <f t="shared" si="4"/>
        <v/>
      </c>
      <c r="K20" s="14"/>
    </row>
    <row r="21" spans="2:11" ht="43.5">
      <c r="B21" s="22" t="s">
        <v>567</v>
      </c>
      <c r="C21" s="23" t="str">
        <f t="shared" si="5"/>
        <v>Not Applicable</v>
      </c>
      <c r="D21" s="23" t="s">
        <v>580</v>
      </c>
      <c r="E21" s="22" t="s">
        <v>568</v>
      </c>
      <c r="F21" s="22" t="str">
        <f t="shared" si="0"/>
        <v>NA</v>
      </c>
      <c r="G21" s="22" t="str">
        <f t="shared" si="1"/>
        <v/>
      </c>
      <c r="H21" s="22" t="str">
        <f t="shared" si="2"/>
        <v/>
      </c>
      <c r="I21" s="22" t="str">
        <f t="shared" si="3"/>
        <v/>
      </c>
      <c r="J21" s="22" t="str">
        <f t="shared" si="4"/>
        <v/>
      </c>
      <c r="K21" s="14"/>
    </row>
    <row r="22" spans="2:11" ht="29">
      <c r="B22" s="22" t="s">
        <v>569</v>
      </c>
      <c r="C22" s="23" t="str">
        <f t="shared" si="5"/>
        <v>Not Applicable</v>
      </c>
      <c r="D22" s="23" t="s">
        <v>578</v>
      </c>
      <c r="E22" s="22" t="s">
        <v>570</v>
      </c>
      <c r="F22" s="22" t="str">
        <f t="shared" si="0"/>
        <v>NA</v>
      </c>
      <c r="G22" s="22" t="str">
        <f t="shared" si="1"/>
        <v/>
      </c>
      <c r="H22" s="22" t="str">
        <f t="shared" si="2"/>
        <v/>
      </c>
      <c r="I22" s="22" t="str">
        <f t="shared" si="3"/>
        <v/>
      </c>
      <c r="J22" s="22" t="str">
        <f t="shared" si="4"/>
        <v/>
      </c>
      <c r="K22" s="14"/>
    </row>
    <row r="23" spans="2:11" ht="29">
      <c r="B23" s="22" t="s">
        <v>571</v>
      </c>
      <c r="C23" s="23" t="str">
        <f t="shared" si="5"/>
        <v>Not Applicable</v>
      </c>
      <c r="D23" s="23" t="s">
        <v>578</v>
      </c>
      <c r="E23" s="22" t="s">
        <v>572</v>
      </c>
      <c r="F23" s="22" t="str">
        <f t="shared" si="0"/>
        <v>NA</v>
      </c>
      <c r="G23" s="22" t="str">
        <f t="shared" si="1"/>
        <v/>
      </c>
      <c r="H23" s="22" t="str">
        <f t="shared" si="2"/>
        <v/>
      </c>
      <c r="I23" s="22" t="str">
        <f t="shared" si="3"/>
        <v/>
      </c>
      <c r="J23" s="22" t="str">
        <f t="shared" si="4"/>
        <v/>
      </c>
      <c r="K23" s="14"/>
    </row>
  </sheetData>
  <conditionalFormatting sqref="C1:C1048576">
    <cfRule type="containsText" dxfId="129" priority="11" operator="containsText" text="Not Applicable">
      <formula>NOT(ISERROR(SEARCH("Not Applicable",C1)))</formula>
    </cfRule>
    <cfRule type="containsText" dxfId="128" priority="12" operator="containsText" text="Applicable">
      <formula>NOT(ISERROR(SEARCH("Applicable",C1)))</formula>
    </cfRule>
  </conditionalFormatting>
  <conditionalFormatting sqref="F4:F50">
    <cfRule type="containsText" dxfId="127" priority="7" operator="containsText" text="Not">
      <formula>NOT(ISERROR(SEARCH("Not",F4)))</formula>
    </cfRule>
    <cfRule type="containsText" dxfId="126" priority="8" operator="containsText" text="Comply">
      <formula>NOT(ISERROR(SEARCH("Comply",F4)))</formula>
    </cfRule>
  </conditionalFormatting>
  <conditionalFormatting sqref="G4:G23">
    <cfRule type="containsText" dxfId="125" priority="4" operator="containsText" text="Gaps to be stated here">
      <formula>NOT(ISERROR(SEARCH("Gaps to be stated here",G4)))</formula>
    </cfRule>
  </conditionalFormatting>
  <conditionalFormatting sqref="H4:H23">
    <cfRule type="containsText" dxfId="124" priority="5" operator="containsText" text="action to be stated here">
      <formula>NOT(ISERROR(SEARCH("action to be stated here",H4)))</formula>
    </cfRule>
  </conditionalFormatting>
  <conditionalFormatting sqref="I4:I23">
    <cfRule type="containsText" dxfId="123" priority="3" operator="containsText" text="Name of PIC to be stated here">
      <formula>NOT(ISERROR(SEARCH("Name of PIC to be stated here",I4)))</formula>
    </cfRule>
  </conditionalFormatting>
  <conditionalFormatting sqref="J4:J23">
    <cfRule type="containsText" dxfId="122" priority="2" operator="containsText" text="action date to be stated here">
      <formula>NOT(ISERROR(SEARCH("action date to be stated here",J4)))</formula>
    </cfRule>
  </conditionalFormatting>
  <conditionalFormatting sqref="K3">
    <cfRule type="expression" dxfId="121" priority="1">
      <formula>$K$2&gt;0</formula>
    </cfRule>
  </conditionalFormatting>
  <conditionalFormatting sqref="K4:K23">
    <cfRule type="expression" dxfId="12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BF36C5D0-A6D8-43E6-ADAB-BBA82C64EF64}">
          <x14:formula1>
            <xm:f>'back-data'!$B$4:$B$6</xm:f>
          </x14:formula1>
          <xm:sqref>D4:D23</xm:sqref>
        </x14:dataValidation>
        <x14:dataValidation type="list" allowBlank="1" showInputMessage="1" showErrorMessage="1" xr:uid="{27BC5882-B4F2-42F4-A17B-1DEEF8CF12DA}">
          <x14:formula1>
            <xm:f>'back-data'!$B$13:$B$15</xm:f>
          </x14:formula1>
          <xm:sqref>F4:F23</xm:sqref>
        </x14:dataValidation>
        <x14:dataValidation type="list" allowBlank="1" showInputMessage="1" showErrorMessage="1" xr:uid="{749D23FD-B12F-493F-A8D3-6E1C2E116A87}">
          <x14:formula1>
            <xm:f>Action_Tracker_Data!$P$4:$P$13</xm:f>
          </x14:formula1>
          <xm:sqref>K4:K23</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7F787-1089-4FC4-B115-06046A336588}">
  <sheetPr>
    <tabColor rgb="FF006E3C"/>
  </sheetPr>
  <dimension ref="B1:K20"/>
  <sheetViews>
    <sheetView showGridLines="0" showRowColHeaders="0" topLeftCell="D11" zoomScaleNormal="100" workbookViewId="0">
      <selection activeCell="G11" sqref="G11"/>
    </sheetView>
  </sheetViews>
  <sheetFormatPr defaultRowHeight="14.5"/>
  <cols>
    <col min="1" max="1" width="27.81640625" style="8" customWidth="1"/>
    <col min="2" max="2" width="46.90625" style="8" customWidth="1"/>
    <col min="3" max="3" width="17.36328125" style="8" customWidth="1"/>
    <col min="4" max="5" width="28.63281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270</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29.5" thickTop="1">
      <c r="B4" s="32" t="s">
        <v>241</v>
      </c>
      <c r="C4" s="29" t="str">
        <f>IF(OR(Home!B131=TRUE,Home!B137=TRUE,Home!B218=TRUE,Home!B203=TRUE,Home!B137=TRUE,Home!B224=TRUE),"Applicable","Not Applicable")</f>
        <v>Not Applicable</v>
      </c>
      <c r="D4" s="29" t="s">
        <v>578</v>
      </c>
      <c r="E4" s="32" t="s">
        <v>43</v>
      </c>
      <c r="F4" s="22" t="str">
        <f t="shared" ref="F4:F20"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29">
      <c r="B5" s="22" t="s">
        <v>242</v>
      </c>
      <c r="C5" s="23" t="str">
        <f>C4</f>
        <v>Not Applicable</v>
      </c>
      <c r="D5" s="23" t="s">
        <v>578</v>
      </c>
      <c r="E5" s="22" t="s">
        <v>31</v>
      </c>
      <c r="F5" s="22" t="str">
        <f t="shared" si="0"/>
        <v>NA</v>
      </c>
      <c r="G5" s="22" t="str">
        <f t="shared" ref="G5:G20" si="1">IF(F5="not comply","Gaps to be stated here","")</f>
        <v/>
      </c>
      <c r="H5" s="22" t="str">
        <f t="shared" ref="H5:H20" si="2">IF(F5="not comply","action to be stated here","")</f>
        <v/>
      </c>
      <c r="I5" s="22" t="str">
        <f t="shared" ref="I5:I20" si="3">IF(F5="not comply","Name of PIC to be stated here","")</f>
        <v/>
      </c>
      <c r="J5" s="22" t="str">
        <f t="shared" ref="J5:J20" si="4">IF(F5="not comply","action date to be stated here","")</f>
        <v/>
      </c>
      <c r="K5" s="14"/>
    </row>
    <row r="6" spans="2:11">
      <c r="B6" s="22" t="s">
        <v>243</v>
      </c>
      <c r="C6" s="23" t="str">
        <f t="shared" ref="C6:C20" si="5">C5</f>
        <v>Not Applicable</v>
      </c>
      <c r="D6" s="23" t="s">
        <v>578</v>
      </c>
      <c r="E6" s="22" t="s">
        <v>32</v>
      </c>
      <c r="F6" s="22" t="str">
        <f t="shared" si="0"/>
        <v>NA</v>
      </c>
      <c r="G6" s="22" t="str">
        <f t="shared" si="1"/>
        <v/>
      </c>
      <c r="H6" s="22" t="str">
        <f t="shared" si="2"/>
        <v/>
      </c>
      <c r="I6" s="22" t="str">
        <f t="shared" si="3"/>
        <v/>
      </c>
      <c r="J6" s="22" t="str">
        <f t="shared" si="4"/>
        <v/>
      </c>
      <c r="K6" s="14"/>
    </row>
    <row r="7" spans="2:11" ht="29">
      <c r="B7" s="22" t="s">
        <v>244</v>
      </c>
      <c r="C7" s="23" t="str">
        <f t="shared" si="5"/>
        <v>Not Applicable</v>
      </c>
      <c r="D7" s="23" t="s">
        <v>580</v>
      </c>
      <c r="E7" s="22" t="s">
        <v>31</v>
      </c>
      <c r="F7" s="22" t="str">
        <f t="shared" si="0"/>
        <v>NA</v>
      </c>
      <c r="G7" s="22" t="str">
        <f t="shared" si="1"/>
        <v/>
      </c>
      <c r="H7" s="22" t="str">
        <f t="shared" si="2"/>
        <v/>
      </c>
      <c r="I7" s="22" t="str">
        <f t="shared" si="3"/>
        <v/>
      </c>
      <c r="J7" s="22" t="str">
        <f t="shared" si="4"/>
        <v/>
      </c>
      <c r="K7" s="14"/>
    </row>
    <row r="8" spans="2:11">
      <c r="B8" s="22" t="s">
        <v>245</v>
      </c>
      <c r="C8" s="23" t="str">
        <f t="shared" si="5"/>
        <v>Not Applicable</v>
      </c>
      <c r="D8" s="23" t="s">
        <v>579</v>
      </c>
      <c r="E8" s="22" t="s">
        <v>36</v>
      </c>
      <c r="F8" s="22" t="str">
        <f t="shared" si="0"/>
        <v>NA</v>
      </c>
      <c r="G8" s="22" t="str">
        <f t="shared" si="1"/>
        <v/>
      </c>
      <c r="H8" s="22" t="str">
        <f t="shared" si="2"/>
        <v/>
      </c>
      <c r="I8" s="22" t="str">
        <f t="shared" si="3"/>
        <v/>
      </c>
      <c r="J8" s="22" t="str">
        <f t="shared" si="4"/>
        <v/>
      </c>
      <c r="K8" s="14"/>
    </row>
    <row r="9" spans="2:11" ht="29">
      <c r="B9" s="22" t="s">
        <v>247</v>
      </c>
      <c r="C9" s="23" t="str">
        <f t="shared" si="5"/>
        <v>Not Applicable</v>
      </c>
      <c r="D9" s="23" t="s">
        <v>580</v>
      </c>
      <c r="E9" s="22" t="s">
        <v>31</v>
      </c>
      <c r="F9" s="22" t="str">
        <f t="shared" si="0"/>
        <v>NA</v>
      </c>
      <c r="G9" s="22" t="str">
        <f t="shared" si="1"/>
        <v/>
      </c>
      <c r="H9" s="22" t="str">
        <f t="shared" si="2"/>
        <v/>
      </c>
      <c r="I9" s="22" t="str">
        <f t="shared" si="3"/>
        <v/>
      </c>
      <c r="J9" s="22" t="str">
        <f t="shared" si="4"/>
        <v/>
      </c>
      <c r="K9" s="14"/>
    </row>
    <row r="10" spans="2:11" ht="29">
      <c r="B10" s="22" t="s">
        <v>248</v>
      </c>
      <c r="C10" s="23" t="str">
        <f t="shared" si="5"/>
        <v>Not Applicable</v>
      </c>
      <c r="D10" s="23" t="s">
        <v>580</v>
      </c>
      <c r="E10" s="22" t="s">
        <v>33</v>
      </c>
      <c r="F10" s="22" t="str">
        <f t="shared" si="0"/>
        <v>NA</v>
      </c>
      <c r="G10" s="22" t="str">
        <f t="shared" si="1"/>
        <v/>
      </c>
      <c r="H10" s="22" t="str">
        <f t="shared" si="2"/>
        <v/>
      </c>
      <c r="I10" s="22" t="str">
        <f t="shared" si="3"/>
        <v/>
      </c>
      <c r="J10" s="22" t="str">
        <f t="shared" si="4"/>
        <v/>
      </c>
      <c r="K10" s="14"/>
    </row>
    <row r="11" spans="2:11" ht="29">
      <c r="B11" s="22" t="s">
        <v>249</v>
      </c>
      <c r="C11" s="23" t="str">
        <f t="shared" si="5"/>
        <v>Not Applicable</v>
      </c>
      <c r="D11" s="23" t="s">
        <v>580</v>
      </c>
      <c r="E11" s="22" t="s">
        <v>31</v>
      </c>
      <c r="F11" s="22" t="str">
        <f t="shared" si="0"/>
        <v>NA</v>
      </c>
      <c r="G11" s="22" t="str">
        <f t="shared" si="1"/>
        <v/>
      </c>
      <c r="H11" s="22" t="str">
        <f t="shared" si="2"/>
        <v/>
      </c>
      <c r="I11" s="22" t="str">
        <f t="shared" si="3"/>
        <v/>
      </c>
      <c r="J11" s="22" t="str">
        <f t="shared" si="4"/>
        <v/>
      </c>
      <c r="K11" s="14"/>
    </row>
    <row r="12" spans="2:11" ht="29">
      <c r="B12" s="22" t="s">
        <v>250</v>
      </c>
      <c r="C12" s="23" t="str">
        <f t="shared" si="5"/>
        <v>Not Applicable</v>
      </c>
      <c r="D12" s="23" t="s">
        <v>580</v>
      </c>
      <c r="E12" s="22" t="s">
        <v>33</v>
      </c>
      <c r="F12" s="22" t="str">
        <f t="shared" si="0"/>
        <v>NA</v>
      </c>
      <c r="G12" s="22" t="str">
        <f t="shared" si="1"/>
        <v/>
      </c>
      <c r="H12" s="22" t="str">
        <f t="shared" si="2"/>
        <v/>
      </c>
      <c r="I12" s="22" t="str">
        <f t="shared" si="3"/>
        <v/>
      </c>
      <c r="J12" s="22" t="str">
        <f t="shared" si="4"/>
        <v/>
      </c>
      <c r="K12" s="14"/>
    </row>
    <row r="13" spans="2:11">
      <c r="B13" s="22" t="s">
        <v>251</v>
      </c>
      <c r="C13" s="23" t="str">
        <f t="shared" si="5"/>
        <v>Not Applicable</v>
      </c>
      <c r="D13" s="23" t="s">
        <v>579</v>
      </c>
      <c r="E13" s="22" t="s">
        <v>36</v>
      </c>
      <c r="F13" s="22" t="str">
        <f t="shared" si="0"/>
        <v>NA</v>
      </c>
      <c r="G13" s="22" t="str">
        <f t="shared" si="1"/>
        <v/>
      </c>
      <c r="H13" s="22" t="str">
        <f t="shared" si="2"/>
        <v/>
      </c>
      <c r="I13" s="22" t="str">
        <f t="shared" si="3"/>
        <v/>
      </c>
      <c r="J13" s="22" t="str">
        <f t="shared" si="4"/>
        <v/>
      </c>
      <c r="K13" s="14"/>
    </row>
    <row r="14" spans="2:11" ht="29">
      <c r="B14" s="22" t="s">
        <v>252</v>
      </c>
      <c r="C14" s="23" t="str">
        <f t="shared" si="5"/>
        <v>Not Applicable</v>
      </c>
      <c r="D14" s="23" t="s">
        <v>580</v>
      </c>
      <c r="E14" s="22" t="s">
        <v>31</v>
      </c>
      <c r="F14" s="22" t="str">
        <f t="shared" si="0"/>
        <v>NA</v>
      </c>
      <c r="G14" s="22" t="str">
        <f t="shared" si="1"/>
        <v/>
      </c>
      <c r="H14" s="22" t="str">
        <f t="shared" si="2"/>
        <v/>
      </c>
      <c r="I14" s="22" t="str">
        <f t="shared" si="3"/>
        <v/>
      </c>
      <c r="J14" s="22" t="str">
        <f t="shared" si="4"/>
        <v/>
      </c>
      <c r="K14" s="14"/>
    </row>
    <row r="15" spans="2:11">
      <c r="B15" s="22" t="s">
        <v>253</v>
      </c>
      <c r="C15" s="23" t="str">
        <f t="shared" si="5"/>
        <v>Not Applicable</v>
      </c>
      <c r="D15" s="23" t="s">
        <v>578</v>
      </c>
      <c r="E15" s="22" t="s">
        <v>31</v>
      </c>
      <c r="F15" s="22" t="str">
        <f t="shared" si="0"/>
        <v>NA</v>
      </c>
      <c r="G15" s="22" t="str">
        <f t="shared" si="1"/>
        <v/>
      </c>
      <c r="H15" s="22" t="str">
        <f t="shared" si="2"/>
        <v/>
      </c>
      <c r="I15" s="22" t="str">
        <f t="shared" si="3"/>
        <v/>
      </c>
      <c r="J15" s="22" t="str">
        <f t="shared" si="4"/>
        <v/>
      </c>
      <c r="K15" s="14"/>
    </row>
    <row r="16" spans="2:11">
      <c r="B16" s="22" t="s">
        <v>254</v>
      </c>
      <c r="C16" s="23" t="str">
        <f t="shared" si="5"/>
        <v>Not Applicable</v>
      </c>
      <c r="D16" s="23" t="s">
        <v>578</v>
      </c>
      <c r="E16" s="22" t="s">
        <v>33</v>
      </c>
      <c r="F16" s="22" t="str">
        <f t="shared" si="0"/>
        <v>NA</v>
      </c>
      <c r="G16" s="22" t="str">
        <f t="shared" si="1"/>
        <v/>
      </c>
      <c r="H16" s="22" t="str">
        <f t="shared" si="2"/>
        <v/>
      </c>
      <c r="I16" s="22" t="str">
        <f t="shared" si="3"/>
        <v/>
      </c>
      <c r="J16" s="22" t="str">
        <f t="shared" si="4"/>
        <v/>
      </c>
      <c r="K16" s="14"/>
    </row>
    <row r="17" spans="2:11">
      <c r="B17" s="22" t="s">
        <v>255</v>
      </c>
      <c r="C17" s="23" t="str">
        <f t="shared" si="5"/>
        <v>Not Applicable</v>
      </c>
      <c r="D17" s="23" t="s">
        <v>578</v>
      </c>
      <c r="E17" s="22" t="s">
        <v>32</v>
      </c>
      <c r="F17" s="22" t="str">
        <f t="shared" si="0"/>
        <v>NA</v>
      </c>
      <c r="G17" s="22" t="str">
        <f t="shared" si="1"/>
        <v/>
      </c>
      <c r="H17" s="22" t="str">
        <f t="shared" si="2"/>
        <v/>
      </c>
      <c r="I17" s="22" t="str">
        <f t="shared" si="3"/>
        <v/>
      </c>
      <c r="J17" s="22" t="str">
        <f t="shared" si="4"/>
        <v/>
      </c>
      <c r="K17" s="14"/>
    </row>
    <row r="18" spans="2:11">
      <c r="B18" s="22" t="s">
        <v>256</v>
      </c>
      <c r="C18" s="23" t="str">
        <f t="shared" si="5"/>
        <v>Not Applicable</v>
      </c>
      <c r="D18" s="23" t="s">
        <v>578</v>
      </c>
      <c r="E18" s="22" t="s">
        <v>53</v>
      </c>
      <c r="F18" s="22" t="str">
        <f t="shared" si="0"/>
        <v>NA</v>
      </c>
      <c r="G18" s="22" t="str">
        <f t="shared" si="1"/>
        <v/>
      </c>
      <c r="H18" s="22" t="str">
        <f t="shared" si="2"/>
        <v/>
      </c>
      <c r="I18" s="22" t="str">
        <f t="shared" si="3"/>
        <v/>
      </c>
      <c r="J18" s="22" t="str">
        <f t="shared" si="4"/>
        <v/>
      </c>
      <c r="K18" s="14"/>
    </row>
    <row r="19" spans="2:11">
      <c r="B19" s="22" t="s">
        <v>257</v>
      </c>
      <c r="C19" s="23" t="str">
        <f t="shared" si="5"/>
        <v>Not Applicable</v>
      </c>
      <c r="D19" s="23" t="s">
        <v>578</v>
      </c>
      <c r="E19" s="22" t="s">
        <v>32</v>
      </c>
      <c r="F19" s="22" t="str">
        <f t="shared" si="0"/>
        <v>NA</v>
      </c>
      <c r="G19" s="22" t="str">
        <f t="shared" si="1"/>
        <v/>
      </c>
      <c r="H19" s="22" t="str">
        <f t="shared" si="2"/>
        <v/>
      </c>
      <c r="I19" s="22" t="str">
        <f t="shared" si="3"/>
        <v/>
      </c>
      <c r="J19" s="22" t="str">
        <f t="shared" si="4"/>
        <v/>
      </c>
      <c r="K19" s="14"/>
    </row>
    <row r="20" spans="2:11">
      <c r="B20" s="22" t="s">
        <v>258</v>
      </c>
      <c r="C20" s="23" t="str">
        <f t="shared" si="5"/>
        <v>Not Applicable</v>
      </c>
      <c r="D20" s="23" t="s">
        <v>578</v>
      </c>
      <c r="E20" s="22" t="s">
        <v>31</v>
      </c>
      <c r="F20" s="22" t="str">
        <f t="shared" si="0"/>
        <v>NA</v>
      </c>
      <c r="G20" s="22" t="str">
        <f t="shared" si="1"/>
        <v/>
      </c>
      <c r="H20" s="22" t="str">
        <f t="shared" si="2"/>
        <v/>
      </c>
      <c r="I20" s="22" t="str">
        <f t="shared" si="3"/>
        <v/>
      </c>
      <c r="J20" s="22" t="str">
        <f t="shared" si="4"/>
        <v/>
      </c>
      <c r="K20" s="14"/>
    </row>
  </sheetData>
  <conditionalFormatting sqref="C1:C1048576">
    <cfRule type="containsText" dxfId="119" priority="11" operator="containsText" text="Not Applicable">
      <formula>NOT(ISERROR(SEARCH("Not Applicable",C1)))</formula>
    </cfRule>
    <cfRule type="containsText" dxfId="118" priority="12" operator="containsText" text="Applicable">
      <formula>NOT(ISERROR(SEARCH("Applicable",C1)))</formula>
    </cfRule>
  </conditionalFormatting>
  <conditionalFormatting sqref="F4:F50">
    <cfRule type="containsText" dxfId="117" priority="7" operator="containsText" text="Not">
      <formula>NOT(ISERROR(SEARCH("Not",F4)))</formula>
    </cfRule>
    <cfRule type="containsText" dxfId="116" priority="8" operator="containsText" text="Comply">
      <formula>NOT(ISERROR(SEARCH("Comply",F4)))</formula>
    </cfRule>
  </conditionalFormatting>
  <conditionalFormatting sqref="G4:G20">
    <cfRule type="containsText" dxfId="115" priority="4" operator="containsText" text="Gaps to be stated here">
      <formula>NOT(ISERROR(SEARCH("Gaps to be stated here",G4)))</formula>
    </cfRule>
  </conditionalFormatting>
  <conditionalFormatting sqref="H4:H20">
    <cfRule type="containsText" dxfId="114" priority="5" operator="containsText" text="action to be stated here">
      <formula>NOT(ISERROR(SEARCH("action to be stated here",H4)))</formula>
    </cfRule>
  </conditionalFormatting>
  <conditionalFormatting sqref="I4:I20">
    <cfRule type="containsText" dxfId="113" priority="3" operator="containsText" text="Name of PIC to be stated here">
      <formula>NOT(ISERROR(SEARCH("Name of PIC to be stated here",I4)))</formula>
    </cfRule>
  </conditionalFormatting>
  <conditionalFormatting sqref="J4:J20">
    <cfRule type="containsText" dxfId="112" priority="2" operator="containsText" text="action date to be stated here">
      <formula>NOT(ISERROR(SEARCH("action date to be stated here",J4)))</formula>
    </cfRule>
  </conditionalFormatting>
  <conditionalFormatting sqref="K3">
    <cfRule type="expression" dxfId="111" priority="1">
      <formula>$K$2&gt;0</formula>
    </cfRule>
  </conditionalFormatting>
  <conditionalFormatting sqref="K4:K20">
    <cfRule type="expression" dxfId="110" priority="6">
      <formula>$K$2&gt;0</formula>
    </cfRule>
  </conditionalFormatting>
  <dataValidations count="1">
    <dataValidation allowBlank="1" showInputMessage="1" showErrorMessage="1" prompt="To ensure hazardous chemical supplied by vendor meet with CLASS Regulations" sqref="C4:C19" xr:uid="{A09C8656-1C0D-44F3-9F42-62A30F577AFE}"/>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4E401160-B76C-4606-91EA-A45E31192490}">
          <x14:formula1>
            <xm:f>'back-data'!$B$4:$B$6</xm:f>
          </x14:formula1>
          <xm:sqref>D4:D20</xm:sqref>
        </x14:dataValidation>
        <x14:dataValidation type="list" allowBlank="1" showInputMessage="1" showErrorMessage="1" xr:uid="{0FBE090B-633B-410A-9F7A-6F6A12EEA073}">
          <x14:formula1>
            <xm:f>'back-data'!$B$13:$B$15</xm:f>
          </x14:formula1>
          <xm:sqref>F4:F20</xm:sqref>
        </x14:dataValidation>
        <x14:dataValidation type="list" allowBlank="1" showInputMessage="1" showErrorMessage="1" xr:uid="{879914B7-3AE8-4312-AF00-1A51DA24E7D1}">
          <x14:formula1>
            <xm:f>Action_Tracker_Data!$Q$4:$Q$13</xm:f>
          </x14:formula1>
          <xm:sqref>K4:K20</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7B365-BF21-496D-91A9-23559694C84C}">
  <sheetPr>
    <tabColor rgb="FF006E3C"/>
  </sheetPr>
  <dimension ref="B1:K21"/>
  <sheetViews>
    <sheetView showGridLines="0" showRowColHeaders="0" topLeftCell="D6" zoomScaleNormal="100" workbookViewId="0">
      <selection activeCell="H5" sqref="H5"/>
    </sheetView>
  </sheetViews>
  <sheetFormatPr defaultRowHeight="14.5"/>
  <cols>
    <col min="1" max="1" width="27.81640625" style="8" customWidth="1"/>
    <col min="2" max="2" width="52.26953125" style="8" customWidth="1"/>
    <col min="3" max="3" width="22" style="8" customWidth="1"/>
    <col min="4" max="5" width="21"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269</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22" t="s">
        <v>259</v>
      </c>
      <c r="C4" s="23" t="s">
        <v>305</v>
      </c>
      <c r="D4" s="29" t="s">
        <v>580</v>
      </c>
      <c r="E4" s="22" t="s">
        <v>31</v>
      </c>
      <c r="F4" s="22" t="str">
        <f t="shared" ref="F4:F11" si="0">IF(C4="Not Applicable","NA","Comply")</f>
        <v>Comply</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43.5">
      <c r="B5" s="22" t="s">
        <v>260</v>
      </c>
      <c r="C5" s="23" t="s">
        <v>305</v>
      </c>
      <c r="D5" s="23" t="s">
        <v>578</v>
      </c>
      <c r="E5" s="22" t="s">
        <v>694</v>
      </c>
      <c r="F5" s="22" t="str">
        <f t="shared" si="0"/>
        <v>Comply</v>
      </c>
      <c r="G5" s="22" t="str">
        <f t="shared" ref="G5:G11" si="1">IF(F5="not comply","Gaps to be stated here","")</f>
        <v/>
      </c>
      <c r="H5" s="22" t="str">
        <f t="shared" ref="H5:H11" si="2">IF(F5="not comply","action to be stated here","")</f>
        <v/>
      </c>
      <c r="I5" s="22" t="str">
        <f t="shared" ref="I5:I11" si="3">IF(F5="not comply","Name of PIC to be stated here","")</f>
        <v/>
      </c>
      <c r="J5" s="22" t="str">
        <f t="shared" ref="J5:J11" si="4">IF(F5="not comply","action date to be stated here","")</f>
        <v/>
      </c>
      <c r="K5" s="14"/>
    </row>
    <row r="6" spans="2:11" ht="58">
      <c r="B6" s="22" t="s">
        <v>261</v>
      </c>
      <c r="C6" s="23" t="s">
        <v>305</v>
      </c>
      <c r="D6" s="23" t="s">
        <v>578</v>
      </c>
      <c r="E6" s="22" t="s">
        <v>695</v>
      </c>
      <c r="F6" s="22" t="str">
        <f t="shared" si="0"/>
        <v>Comply</v>
      </c>
      <c r="G6" s="22" t="str">
        <f t="shared" si="1"/>
        <v/>
      </c>
      <c r="H6" s="22" t="str">
        <f t="shared" si="2"/>
        <v/>
      </c>
      <c r="I6" s="22" t="str">
        <f t="shared" si="3"/>
        <v/>
      </c>
      <c r="J6" s="22" t="str">
        <f t="shared" si="4"/>
        <v/>
      </c>
      <c r="K6" s="14"/>
    </row>
    <row r="7" spans="2:11" ht="29">
      <c r="B7" s="22" t="s">
        <v>262</v>
      </c>
      <c r="C7" s="23" t="s">
        <v>305</v>
      </c>
      <c r="D7" s="23" t="s">
        <v>579</v>
      </c>
      <c r="E7" s="22" t="s">
        <v>696</v>
      </c>
      <c r="F7" s="22" t="str">
        <f t="shared" si="0"/>
        <v>Comply</v>
      </c>
      <c r="G7" s="22" t="str">
        <f t="shared" si="1"/>
        <v/>
      </c>
      <c r="H7" s="22" t="str">
        <f t="shared" si="2"/>
        <v/>
      </c>
      <c r="I7" s="22" t="str">
        <f t="shared" si="3"/>
        <v/>
      </c>
      <c r="J7" s="22" t="str">
        <f t="shared" si="4"/>
        <v/>
      </c>
      <c r="K7" s="14"/>
    </row>
    <row r="8" spans="2:11" ht="43.5">
      <c r="B8" s="22" t="s">
        <v>263</v>
      </c>
      <c r="C8" s="23" t="s">
        <v>305</v>
      </c>
      <c r="D8" s="23" t="s">
        <v>578</v>
      </c>
      <c r="E8" s="22" t="s">
        <v>697</v>
      </c>
      <c r="F8" s="22" t="str">
        <f t="shared" si="0"/>
        <v>Comply</v>
      </c>
      <c r="G8" s="22" t="str">
        <f t="shared" si="1"/>
        <v/>
      </c>
      <c r="H8" s="22" t="str">
        <f t="shared" si="2"/>
        <v/>
      </c>
      <c r="I8" s="22" t="str">
        <f t="shared" si="3"/>
        <v/>
      </c>
      <c r="J8" s="22" t="str">
        <f t="shared" si="4"/>
        <v/>
      </c>
      <c r="K8" s="14"/>
    </row>
    <row r="9" spans="2:11" ht="29">
      <c r="B9" s="22" t="s">
        <v>264</v>
      </c>
      <c r="C9" s="23" t="s">
        <v>305</v>
      </c>
      <c r="D9" s="23" t="s">
        <v>578</v>
      </c>
      <c r="E9" s="22" t="s">
        <v>1013</v>
      </c>
      <c r="F9" s="22" t="str">
        <f t="shared" si="0"/>
        <v>Comply</v>
      </c>
      <c r="G9" s="22" t="str">
        <f t="shared" si="1"/>
        <v/>
      </c>
      <c r="H9" s="22" t="str">
        <f t="shared" si="2"/>
        <v/>
      </c>
      <c r="I9" s="22" t="str">
        <f t="shared" si="3"/>
        <v/>
      </c>
      <c r="J9" s="22" t="str">
        <f t="shared" si="4"/>
        <v/>
      </c>
      <c r="K9" s="14"/>
    </row>
    <row r="10" spans="2:11" ht="29">
      <c r="B10" s="22" t="s">
        <v>265</v>
      </c>
      <c r="C10" s="23" t="s">
        <v>305</v>
      </c>
      <c r="D10" s="23" t="s">
        <v>578</v>
      </c>
      <c r="E10" s="22" t="s">
        <v>698</v>
      </c>
      <c r="F10" s="22" t="str">
        <f t="shared" si="0"/>
        <v>Comply</v>
      </c>
      <c r="G10" s="22" t="str">
        <f t="shared" si="1"/>
        <v/>
      </c>
      <c r="H10" s="22" t="str">
        <f t="shared" si="2"/>
        <v/>
      </c>
      <c r="I10" s="22" t="str">
        <f t="shared" si="3"/>
        <v/>
      </c>
      <c r="J10" s="22" t="str">
        <f t="shared" si="4"/>
        <v/>
      </c>
      <c r="K10" s="14"/>
    </row>
    <row r="11" spans="2:11" ht="43.5">
      <c r="B11" s="22" t="s">
        <v>266</v>
      </c>
      <c r="C11" s="23" t="str">
        <f t="shared" ref="C11" si="5">C10</f>
        <v>Applicable</v>
      </c>
      <c r="D11" s="23" t="s">
        <v>578</v>
      </c>
      <c r="E11" s="22" t="s">
        <v>699</v>
      </c>
      <c r="F11" s="22" t="str">
        <f t="shared" si="0"/>
        <v>Comply</v>
      </c>
      <c r="G11" s="22" t="str">
        <f t="shared" si="1"/>
        <v/>
      </c>
      <c r="H11" s="22" t="str">
        <f t="shared" si="2"/>
        <v/>
      </c>
      <c r="I11" s="22" t="str">
        <f t="shared" si="3"/>
        <v/>
      </c>
      <c r="J11" s="22" t="str">
        <f t="shared" si="4"/>
        <v/>
      </c>
      <c r="K11" s="14"/>
    </row>
    <row r="12" spans="2:11">
      <c r="C12" s="52"/>
    </row>
    <row r="13" spans="2:11">
      <c r="C13" s="52"/>
    </row>
    <row r="14" spans="2:11">
      <c r="C14" s="52"/>
    </row>
    <row r="15" spans="2:11">
      <c r="C15" s="52"/>
    </row>
    <row r="16" spans="2:11">
      <c r="C16" s="52"/>
    </row>
    <row r="17" spans="3:3">
      <c r="C17" s="52"/>
    </row>
    <row r="18" spans="3:3">
      <c r="C18" s="52"/>
    </row>
    <row r="19" spans="3:3">
      <c r="C19" s="52"/>
    </row>
    <row r="20" spans="3:3">
      <c r="C20" s="52"/>
    </row>
    <row r="21" spans="3:3">
      <c r="C21" s="52"/>
    </row>
  </sheetData>
  <conditionalFormatting sqref="C1:C1048576">
    <cfRule type="containsText" dxfId="109" priority="11" operator="containsText" text="Not Applicable">
      <formula>NOT(ISERROR(SEARCH("Not Applicable",C1)))</formula>
    </cfRule>
    <cfRule type="containsText" dxfId="108" priority="12" operator="containsText" text="Applicable">
      <formula>NOT(ISERROR(SEARCH("Applicable",C1)))</formula>
    </cfRule>
  </conditionalFormatting>
  <conditionalFormatting sqref="F4:F50">
    <cfRule type="containsText" dxfId="107" priority="7" operator="containsText" text="Not">
      <formula>NOT(ISERROR(SEARCH("Not",F4)))</formula>
    </cfRule>
    <cfRule type="containsText" dxfId="106" priority="8" operator="containsText" text="Comply">
      <formula>NOT(ISERROR(SEARCH("Comply",F4)))</formula>
    </cfRule>
  </conditionalFormatting>
  <conditionalFormatting sqref="G4:G11">
    <cfRule type="containsText" dxfId="105" priority="4" operator="containsText" text="Gaps to be stated here">
      <formula>NOT(ISERROR(SEARCH("Gaps to be stated here",G4)))</formula>
    </cfRule>
  </conditionalFormatting>
  <conditionalFormatting sqref="H4:H11">
    <cfRule type="containsText" dxfId="104" priority="5" operator="containsText" text="action to be stated here">
      <formula>NOT(ISERROR(SEARCH("action to be stated here",H4)))</formula>
    </cfRule>
  </conditionalFormatting>
  <conditionalFormatting sqref="I4:I11">
    <cfRule type="containsText" dxfId="103" priority="3" operator="containsText" text="Name of PIC to be stated here">
      <formula>NOT(ISERROR(SEARCH("Name of PIC to be stated here",I4)))</formula>
    </cfRule>
  </conditionalFormatting>
  <conditionalFormatting sqref="J4:J11">
    <cfRule type="containsText" dxfId="102" priority="2" operator="containsText" text="action date to be stated here">
      <formula>NOT(ISERROR(SEARCH("action date to be stated here",J4)))</formula>
    </cfRule>
  </conditionalFormatting>
  <conditionalFormatting sqref="K3">
    <cfRule type="expression" dxfId="101" priority="1">
      <formula>$K$2&gt;0</formula>
    </cfRule>
  </conditionalFormatting>
  <conditionalFormatting sqref="K4:K11">
    <cfRule type="expression" dxfId="10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54E2BB7-DF92-4347-A9B6-026F3036404F}">
          <x14:formula1>
            <xm:f>'back-data'!$B$4:$B$6</xm:f>
          </x14:formula1>
          <xm:sqref>D4:D11</xm:sqref>
        </x14:dataValidation>
        <x14:dataValidation type="list" allowBlank="1" showInputMessage="1" showErrorMessage="1" xr:uid="{7D9018F5-2E52-46AF-99A9-D71CD708B764}">
          <x14:formula1>
            <xm:f>'back-data'!$B$13:$B$15</xm:f>
          </x14:formula1>
          <xm:sqref>F4:F11</xm:sqref>
        </x14:dataValidation>
        <x14:dataValidation type="list" allowBlank="1" showInputMessage="1" showErrorMessage="1" xr:uid="{5579AF89-D374-4FA7-BBC3-DE004AFEDD45}">
          <x14:formula1>
            <xm:f>Action_Tracker_Data!$R$4:$R$13</xm:f>
          </x14:formula1>
          <xm:sqref>K4:K11</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D76E3-45B7-4F62-8336-EB061E5D608D}">
  <sheetPr>
    <tabColor rgb="FF006E3C"/>
  </sheetPr>
  <dimension ref="B1:K19"/>
  <sheetViews>
    <sheetView showGridLines="0" showRowColHeaders="0" topLeftCell="B18" zoomScaleNormal="100" workbookViewId="0">
      <selection activeCell="AP7" sqref="AP7"/>
    </sheetView>
  </sheetViews>
  <sheetFormatPr defaultRowHeight="14.5"/>
  <cols>
    <col min="1" max="1" width="27.81640625" style="8" customWidth="1"/>
    <col min="2" max="2" width="48.81640625" style="8" customWidth="1"/>
    <col min="3" max="4" width="22" style="8" customWidth="1"/>
    <col min="5" max="5" width="25.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271</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58.5" thickTop="1">
      <c r="B4" s="22" t="s">
        <v>272</v>
      </c>
      <c r="C4" s="23" t="s">
        <v>305</v>
      </c>
      <c r="D4" s="22" t="s">
        <v>580</v>
      </c>
      <c r="E4" s="22" t="s">
        <v>700</v>
      </c>
      <c r="F4" s="22" t="str">
        <f t="shared" ref="F4:F19" si="0">IF(C4="Not Applicable","NA","Comply")</f>
        <v>Comply</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72.5">
      <c r="B5" s="22" t="s">
        <v>77</v>
      </c>
      <c r="C5" s="23" t="str">
        <f>IF(OR(Home!B75=TRUE,Home!B197=TRUE,Home!B218=TRUE),"Applicable","Not Applicable")</f>
        <v>Not Applicable</v>
      </c>
      <c r="D5" s="22" t="s">
        <v>578</v>
      </c>
      <c r="E5" s="22" t="s">
        <v>701</v>
      </c>
      <c r="F5" s="22" t="str">
        <f t="shared" si="0"/>
        <v>NA</v>
      </c>
      <c r="G5" s="22" t="str">
        <f t="shared" ref="G5:G19" si="1">IF(F5="not comply","Gaps to be stated here","")</f>
        <v/>
      </c>
      <c r="H5" s="22" t="str">
        <f t="shared" ref="H5:H19" si="2">IF(F5="not comply","action to be stated here","")</f>
        <v/>
      </c>
      <c r="I5" s="22" t="str">
        <f t="shared" ref="I5:I19" si="3">IF(F5="not comply","Name of PIC to be stated here","")</f>
        <v/>
      </c>
      <c r="J5" s="22" t="str">
        <f t="shared" ref="J5:J19" si="4">IF(F5="not comply","action date to be stated here","")</f>
        <v/>
      </c>
      <c r="K5" s="14"/>
    </row>
    <row r="6" spans="2:11" ht="43.5">
      <c r="B6" s="22" t="s">
        <v>78</v>
      </c>
      <c r="C6" s="23" t="str">
        <f t="shared" ref="C6:C19" si="5">C5</f>
        <v>Not Applicable</v>
      </c>
      <c r="D6" s="22" t="s">
        <v>580</v>
      </c>
      <c r="E6" s="22" t="s">
        <v>38</v>
      </c>
      <c r="F6" s="22" t="str">
        <f t="shared" si="0"/>
        <v>NA</v>
      </c>
      <c r="G6" s="22" t="str">
        <f t="shared" si="1"/>
        <v/>
      </c>
      <c r="H6" s="22" t="str">
        <f t="shared" si="2"/>
        <v/>
      </c>
      <c r="I6" s="22" t="str">
        <f t="shared" si="3"/>
        <v/>
      </c>
      <c r="J6" s="22" t="str">
        <f t="shared" si="4"/>
        <v/>
      </c>
      <c r="K6" s="14"/>
    </row>
    <row r="7" spans="2:11" ht="29">
      <c r="B7" s="22" t="s">
        <v>79</v>
      </c>
      <c r="C7" s="23" t="str">
        <f t="shared" si="5"/>
        <v>Not Applicable</v>
      </c>
      <c r="D7" s="22" t="s">
        <v>578</v>
      </c>
      <c r="E7" s="22" t="s">
        <v>33</v>
      </c>
      <c r="F7" s="22" t="str">
        <f t="shared" si="0"/>
        <v>NA</v>
      </c>
      <c r="G7" s="22" t="str">
        <f t="shared" si="1"/>
        <v/>
      </c>
      <c r="H7" s="22" t="str">
        <f t="shared" si="2"/>
        <v/>
      </c>
      <c r="I7" s="22" t="str">
        <f t="shared" si="3"/>
        <v/>
      </c>
      <c r="J7" s="22" t="str">
        <f t="shared" si="4"/>
        <v/>
      </c>
      <c r="K7" s="14"/>
    </row>
    <row r="8" spans="2:11" ht="58">
      <c r="B8" s="22" t="s">
        <v>80</v>
      </c>
      <c r="C8" s="23" t="str">
        <f t="shared" si="5"/>
        <v>Not Applicable</v>
      </c>
      <c r="D8" s="22" t="s">
        <v>580</v>
      </c>
      <c r="E8" s="22" t="s">
        <v>702</v>
      </c>
      <c r="F8" s="22" t="str">
        <f t="shared" si="0"/>
        <v>NA</v>
      </c>
      <c r="G8" s="22" t="str">
        <f t="shared" si="1"/>
        <v/>
      </c>
      <c r="H8" s="22" t="str">
        <f t="shared" si="2"/>
        <v/>
      </c>
      <c r="I8" s="22" t="str">
        <f t="shared" si="3"/>
        <v/>
      </c>
      <c r="J8" s="22" t="str">
        <f t="shared" si="4"/>
        <v/>
      </c>
      <c r="K8" s="14"/>
    </row>
    <row r="9" spans="2:11" ht="58">
      <c r="B9" s="22" t="s">
        <v>81</v>
      </c>
      <c r="C9" s="23" t="str">
        <f t="shared" si="5"/>
        <v>Not Applicable</v>
      </c>
      <c r="D9" s="22" t="s">
        <v>580</v>
      </c>
      <c r="E9" s="22" t="s">
        <v>703</v>
      </c>
      <c r="F9" s="22" t="str">
        <f t="shared" si="0"/>
        <v>NA</v>
      </c>
      <c r="G9" s="22" t="str">
        <f t="shared" si="1"/>
        <v/>
      </c>
      <c r="H9" s="22" t="str">
        <f t="shared" si="2"/>
        <v/>
      </c>
      <c r="I9" s="22" t="str">
        <f t="shared" si="3"/>
        <v/>
      </c>
      <c r="J9" s="22" t="str">
        <f t="shared" si="4"/>
        <v/>
      </c>
      <c r="K9" s="14"/>
    </row>
    <row r="10" spans="2:11" ht="43.5">
      <c r="B10" s="22" t="s">
        <v>82</v>
      </c>
      <c r="C10" s="23" t="str">
        <f t="shared" si="5"/>
        <v>Not Applicable</v>
      </c>
      <c r="D10" s="22" t="s">
        <v>580</v>
      </c>
      <c r="E10" s="22" t="s">
        <v>30</v>
      </c>
      <c r="F10" s="22" t="str">
        <f t="shared" si="0"/>
        <v>NA</v>
      </c>
      <c r="G10" s="22" t="str">
        <f t="shared" si="1"/>
        <v/>
      </c>
      <c r="H10" s="22" t="str">
        <f t="shared" si="2"/>
        <v/>
      </c>
      <c r="I10" s="22" t="str">
        <f t="shared" si="3"/>
        <v/>
      </c>
      <c r="J10" s="22" t="str">
        <f t="shared" si="4"/>
        <v/>
      </c>
      <c r="K10" s="14"/>
    </row>
    <row r="11" spans="2:11" ht="43.5">
      <c r="B11" s="22" t="s">
        <v>83</v>
      </c>
      <c r="C11" s="23" t="str">
        <f t="shared" si="5"/>
        <v>Not Applicable</v>
      </c>
      <c r="D11" s="22" t="s">
        <v>580</v>
      </c>
      <c r="E11" s="22" t="s">
        <v>39</v>
      </c>
      <c r="F11" s="22" t="str">
        <f t="shared" si="0"/>
        <v>NA</v>
      </c>
      <c r="G11" s="22" t="str">
        <f t="shared" si="1"/>
        <v/>
      </c>
      <c r="H11" s="22" t="str">
        <f t="shared" si="2"/>
        <v/>
      </c>
      <c r="I11" s="22" t="str">
        <f t="shared" si="3"/>
        <v/>
      </c>
      <c r="J11" s="22" t="str">
        <f t="shared" si="4"/>
        <v/>
      </c>
      <c r="K11" s="14"/>
    </row>
    <row r="12" spans="2:11" ht="58">
      <c r="B12" s="22" t="s">
        <v>84</v>
      </c>
      <c r="C12" s="23" t="str">
        <f t="shared" si="5"/>
        <v>Not Applicable</v>
      </c>
      <c r="D12" s="22" t="s">
        <v>580</v>
      </c>
      <c r="E12" s="22" t="s">
        <v>704</v>
      </c>
      <c r="F12" s="22" t="str">
        <f t="shared" si="0"/>
        <v>NA</v>
      </c>
      <c r="G12" s="22" t="str">
        <f t="shared" si="1"/>
        <v/>
      </c>
      <c r="H12" s="22" t="str">
        <f t="shared" si="2"/>
        <v/>
      </c>
      <c r="I12" s="22" t="str">
        <f t="shared" si="3"/>
        <v/>
      </c>
      <c r="J12" s="22" t="str">
        <f t="shared" si="4"/>
        <v/>
      </c>
      <c r="K12" s="14"/>
    </row>
    <row r="13" spans="2:11" ht="58">
      <c r="B13" s="22" t="s">
        <v>85</v>
      </c>
      <c r="C13" s="23" t="str">
        <f t="shared" si="5"/>
        <v>Not Applicable</v>
      </c>
      <c r="D13" s="22" t="s">
        <v>580</v>
      </c>
      <c r="E13" s="22" t="s">
        <v>705</v>
      </c>
      <c r="F13" s="22" t="str">
        <f t="shared" si="0"/>
        <v>NA</v>
      </c>
      <c r="G13" s="22" t="str">
        <f t="shared" si="1"/>
        <v/>
      </c>
      <c r="H13" s="22" t="str">
        <f t="shared" si="2"/>
        <v/>
      </c>
      <c r="I13" s="22" t="str">
        <f t="shared" si="3"/>
        <v/>
      </c>
      <c r="J13" s="22" t="str">
        <f t="shared" si="4"/>
        <v/>
      </c>
      <c r="K13" s="14"/>
    </row>
    <row r="14" spans="2:11" ht="29">
      <c r="B14" s="22" t="s">
        <v>86</v>
      </c>
      <c r="C14" s="23" t="str">
        <f t="shared" si="5"/>
        <v>Not Applicable</v>
      </c>
      <c r="D14" s="22" t="s">
        <v>579</v>
      </c>
      <c r="E14" s="22" t="s">
        <v>1360</v>
      </c>
      <c r="F14" s="22" t="str">
        <f t="shared" si="0"/>
        <v>NA</v>
      </c>
      <c r="G14" s="22" t="str">
        <f t="shared" si="1"/>
        <v/>
      </c>
      <c r="H14" s="22" t="str">
        <f t="shared" si="2"/>
        <v/>
      </c>
      <c r="I14" s="22" t="str">
        <f t="shared" si="3"/>
        <v/>
      </c>
      <c r="J14" s="22" t="str">
        <f t="shared" si="4"/>
        <v/>
      </c>
      <c r="K14" s="14"/>
    </row>
    <row r="15" spans="2:11" ht="58">
      <c r="B15" s="22" t="s">
        <v>87</v>
      </c>
      <c r="C15" s="23" t="str">
        <f t="shared" si="5"/>
        <v>Not Applicable</v>
      </c>
      <c r="D15" s="22" t="s">
        <v>580</v>
      </c>
      <c r="E15" s="22" t="s">
        <v>706</v>
      </c>
      <c r="F15" s="22" t="str">
        <f t="shared" si="0"/>
        <v>NA</v>
      </c>
      <c r="G15" s="22" t="str">
        <f t="shared" si="1"/>
        <v/>
      </c>
      <c r="H15" s="22" t="str">
        <f t="shared" si="2"/>
        <v/>
      </c>
      <c r="I15" s="22" t="str">
        <f t="shared" si="3"/>
        <v/>
      </c>
      <c r="J15" s="22" t="str">
        <f t="shared" si="4"/>
        <v/>
      </c>
      <c r="K15" s="14"/>
    </row>
    <row r="16" spans="2:11" ht="29">
      <c r="B16" s="22" t="s">
        <v>88</v>
      </c>
      <c r="C16" s="23" t="str">
        <f t="shared" si="5"/>
        <v>Not Applicable</v>
      </c>
      <c r="D16" s="22" t="s">
        <v>578</v>
      </c>
      <c r="E16" s="22" t="s">
        <v>41</v>
      </c>
      <c r="F16" s="22" t="str">
        <f t="shared" si="0"/>
        <v>NA</v>
      </c>
      <c r="G16" s="22" t="str">
        <f t="shared" si="1"/>
        <v/>
      </c>
      <c r="H16" s="22" t="str">
        <f t="shared" si="2"/>
        <v/>
      </c>
      <c r="I16" s="22" t="str">
        <f t="shared" si="3"/>
        <v/>
      </c>
      <c r="J16" s="22" t="str">
        <f t="shared" si="4"/>
        <v/>
      </c>
      <c r="K16" s="14"/>
    </row>
    <row r="17" spans="2:11" ht="43.5">
      <c r="B17" s="22" t="s">
        <v>89</v>
      </c>
      <c r="C17" s="23" t="str">
        <f t="shared" si="5"/>
        <v>Not Applicable</v>
      </c>
      <c r="D17" s="22" t="s">
        <v>580</v>
      </c>
      <c r="E17" s="22" t="s">
        <v>47</v>
      </c>
      <c r="F17" s="22" t="str">
        <f t="shared" si="0"/>
        <v>NA</v>
      </c>
      <c r="G17" s="22" t="str">
        <f t="shared" si="1"/>
        <v/>
      </c>
      <c r="H17" s="22" t="str">
        <f t="shared" si="2"/>
        <v/>
      </c>
      <c r="I17" s="22" t="str">
        <f t="shared" si="3"/>
        <v/>
      </c>
      <c r="J17" s="22" t="str">
        <f t="shared" si="4"/>
        <v/>
      </c>
      <c r="K17" s="14"/>
    </row>
    <row r="18" spans="2:11" ht="43.5">
      <c r="B18" s="22" t="s">
        <v>90</v>
      </c>
      <c r="C18" s="23" t="str">
        <f t="shared" si="5"/>
        <v>Not Applicable</v>
      </c>
      <c r="D18" s="22" t="s">
        <v>580</v>
      </c>
      <c r="E18" s="22" t="s">
        <v>41</v>
      </c>
      <c r="F18" s="22" t="str">
        <f t="shared" si="0"/>
        <v>NA</v>
      </c>
      <c r="G18" s="22" t="str">
        <f t="shared" si="1"/>
        <v/>
      </c>
      <c r="H18" s="22" t="str">
        <f t="shared" si="2"/>
        <v/>
      </c>
      <c r="I18" s="22" t="str">
        <f t="shared" si="3"/>
        <v/>
      </c>
      <c r="J18" s="22" t="str">
        <f t="shared" si="4"/>
        <v/>
      </c>
      <c r="K18" s="14"/>
    </row>
    <row r="19" spans="2:11" ht="58">
      <c r="B19" s="22" t="s">
        <v>91</v>
      </c>
      <c r="C19" s="23" t="str">
        <f t="shared" si="5"/>
        <v>Not Applicable</v>
      </c>
      <c r="D19" s="22" t="s">
        <v>578</v>
      </c>
      <c r="E19" s="22" t="s">
        <v>707</v>
      </c>
      <c r="F19" s="22" t="str">
        <f t="shared" si="0"/>
        <v>NA</v>
      </c>
      <c r="G19" s="22" t="str">
        <f t="shared" si="1"/>
        <v/>
      </c>
      <c r="H19" s="22" t="str">
        <f t="shared" si="2"/>
        <v/>
      </c>
      <c r="I19" s="22" t="str">
        <f t="shared" si="3"/>
        <v/>
      </c>
      <c r="J19" s="22" t="str">
        <f t="shared" si="4"/>
        <v/>
      </c>
      <c r="K19" s="14"/>
    </row>
  </sheetData>
  <conditionalFormatting sqref="C1:C1048576">
    <cfRule type="containsText" dxfId="99" priority="11" operator="containsText" text="Not Applicable">
      <formula>NOT(ISERROR(SEARCH("Not Applicable",C1)))</formula>
    </cfRule>
    <cfRule type="containsText" dxfId="98" priority="12" operator="containsText" text="Applicable">
      <formula>NOT(ISERROR(SEARCH("Applicable",C1)))</formula>
    </cfRule>
  </conditionalFormatting>
  <conditionalFormatting sqref="F4:F50">
    <cfRule type="containsText" dxfId="97" priority="7" operator="containsText" text="Not">
      <formula>NOT(ISERROR(SEARCH("Not",F4)))</formula>
    </cfRule>
    <cfRule type="containsText" dxfId="96" priority="8" operator="containsText" text="Comply">
      <formula>NOT(ISERROR(SEARCH("Comply",F4)))</formula>
    </cfRule>
  </conditionalFormatting>
  <conditionalFormatting sqref="G4:G19">
    <cfRule type="containsText" dxfId="95" priority="4" operator="containsText" text="Gaps to be stated here">
      <formula>NOT(ISERROR(SEARCH("Gaps to be stated here",G4)))</formula>
    </cfRule>
  </conditionalFormatting>
  <conditionalFormatting sqref="H4:H19">
    <cfRule type="containsText" dxfId="94" priority="5" operator="containsText" text="action to be stated here">
      <formula>NOT(ISERROR(SEARCH("action to be stated here",H4)))</formula>
    </cfRule>
  </conditionalFormatting>
  <conditionalFormatting sqref="I4:I19">
    <cfRule type="containsText" dxfId="93" priority="3" operator="containsText" text="Name of PIC to be stated here">
      <formula>NOT(ISERROR(SEARCH("Name of PIC to be stated here",I4)))</formula>
    </cfRule>
  </conditionalFormatting>
  <conditionalFormatting sqref="J4:J19">
    <cfRule type="containsText" dxfId="92" priority="2" operator="containsText" text="action date to be stated here">
      <formula>NOT(ISERROR(SEARCH("action date to be stated here",J4)))</formula>
    </cfRule>
  </conditionalFormatting>
  <conditionalFormatting sqref="K3">
    <cfRule type="expression" dxfId="91" priority="1">
      <formula>$K$2&gt;0</formula>
    </cfRule>
  </conditionalFormatting>
  <conditionalFormatting sqref="K4:K19">
    <cfRule type="expression" dxfId="90" priority="6">
      <formula>$K$2&gt;0</formula>
    </cfRule>
  </conditionalFormatting>
  <dataValidations count="1">
    <dataValidation allowBlank="1" showInputMessage="1" showErrorMessage="1" prompt="Only applicable if accesive noise available in the workplace" sqref="C5:C18" xr:uid="{B4BBBBA8-F844-4EDB-9465-19AA45F34E49}"/>
  </dataValidation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50F7A8DD-0B5D-44AF-989C-D4C0E0C116CB}">
          <x14:formula1>
            <xm:f>'back-data'!$B$4:$B$6</xm:f>
          </x14:formula1>
          <xm:sqref>D4:D19</xm:sqref>
        </x14:dataValidation>
        <x14:dataValidation type="list" allowBlank="1" showInputMessage="1" showErrorMessage="1" xr:uid="{17829AFD-029D-4D1E-A4EA-F47B3D7A6C4F}">
          <x14:formula1>
            <xm:f>'back-data'!$B$13:$B$15</xm:f>
          </x14:formula1>
          <xm:sqref>F4:F19</xm:sqref>
        </x14:dataValidation>
        <x14:dataValidation type="list" allowBlank="1" showInputMessage="1" showErrorMessage="1" xr:uid="{B45B486B-7C19-4DF6-89D6-EA15963B9C94}">
          <x14:formula1>
            <xm:f>Action_Tracker_Data!$S$4:$S$13</xm:f>
          </x14:formula1>
          <xm:sqref>K4:K19</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B4669-18FB-401B-8EB9-9DCBC7CB46A8}">
  <sheetPr>
    <tabColor rgb="FF006E3C"/>
  </sheetPr>
  <dimension ref="B1:K26"/>
  <sheetViews>
    <sheetView showGridLines="0" showRowColHeaders="0" topLeftCell="E21" zoomScaleNormal="100" workbookViewId="0">
      <selection activeCell="H30" sqref="H30"/>
    </sheetView>
  </sheetViews>
  <sheetFormatPr defaultRowHeight="14.5"/>
  <cols>
    <col min="1" max="1" width="27.81640625" style="8" customWidth="1"/>
    <col min="2" max="2" width="39.6328125" style="8" customWidth="1"/>
    <col min="3" max="3" width="19.36328125" style="8" customWidth="1"/>
    <col min="4" max="4" width="26.6328125" style="8" customWidth="1"/>
    <col min="5" max="5" width="25.363281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268</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29.5" thickTop="1">
      <c r="B4" s="9" t="s">
        <v>92</v>
      </c>
      <c r="C4" s="23" t="str">
        <f>IF(OR(Home!A16="40 – 99",Home!A16="100 persons and above"),"Applicable","Not Applicable")</f>
        <v>Not Applicable</v>
      </c>
      <c r="D4" s="9" t="s">
        <v>580</v>
      </c>
      <c r="E4" s="9" t="s">
        <v>43</v>
      </c>
      <c r="F4" s="22" t="str">
        <f t="shared" ref="F4:F26"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93</v>
      </c>
      <c r="C5" s="23" t="str">
        <f>C4</f>
        <v>Not Applicable</v>
      </c>
      <c r="D5" s="22" t="s">
        <v>580</v>
      </c>
      <c r="E5" s="22" t="s">
        <v>708</v>
      </c>
      <c r="F5" s="22" t="str">
        <f t="shared" si="0"/>
        <v>NA</v>
      </c>
      <c r="G5" s="22" t="str">
        <f t="shared" ref="G5:G26" si="1">IF(F5="not comply","Gaps to be stated here","")</f>
        <v/>
      </c>
      <c r="H5" s="22" t="str">
        <f t="shared" ref="H5:H26" si="2">IF(F5="not comply","action to be stated here","")</f>
        <v/>
      </c>
      <c r="I5" s="22" t="str">
        <f t="shared" ref="I5:I26" si="3">IF(F5="not comply","Name of PIC to be stated here","")</f>
        <v/>
      </c>
      <c r="J5" s="22" t="str">
        <f t="shared" ref="J5:J26" si="4">IF(F5="not comply","action date to be stated here","")</f>
        <v/>
      </c>
      <c r="K5" s="14"/>
    </row>
    <row r="6" spans="2:11" ht="29">
      <c r="B6" s="22" t="s">
        <v>94</v>
      </c>
      <c r="C6" s="23" t="str">
        <f t="shared" ref="C6:C26" si="5">C5</f>
        <v>Not Applicable</v>
      </c>
      <c r="D6" s="22" t="s">
        <v>578</v>
      </c>
      <c r="E6" s="22" t="s">
        <v>45</v>
      </c>
      <c r="F6" s="22" t="str">
        <f t="shared" si="0"/>
        <v>NA</v>
      </c>
      <c r="G6" s="22" t="str">
        <f t="shared" si="1"/>
        <v/>
      </c>
      <c r="H6" s="22" t="str">
        <f t="shared" si="2"/>
        <v/>
      </c>
      <c r="I6" s="22" t="str">
        <f t="shared" si="3"/>
        <v/>
      </c>
      <c r="J6" s="22" t="str">
        <f t="shared" si="4"/>
        <v/>
      </c>
      <c r="K6" s="14"/>
    </row>
    <row r="7" spans="2:11" ht="29">
      <c r="B7" s="22" t="s">
        <v>95</v>
      </c>
      <c r="C7" s="23" t="str">
        <f t="shared" si="5"/>
        <v>Not Applicable</v>
      </c>
      <c r="D7" s="22" t="s">
        <v>578</v>
      </c>
      <c r="E7" s="22" t="s">
        <v>38</v>
      </c>
      <c r="F7" s="22" t="str">
        <f t="shared" si="0"/>
        <v>NA</v>
      </c>
      <c r="G7" s="22" t="str">
        <f t="shared" si="1"/>
        <v/>
      </c>
      <c r="H7" s="22" t="str">
        <f t="shared" si="2"/>
        <v/>
      </c>
      <c r="I7" s="22" t="str">
        <f t="shared" si="3"/>
        <v/>
      </c>
      <c r="J7" s="22" t="str">
        <f t="shared" si="4"/>
        <v/>
      </c>
      <c r="K7" s="14"/>
    </row>
    <row r="8" spans="2:11" ht="29">
      <c r="B8" s="22" t="s">
        <v>96</v>
      </c>
      <c r="C8" s="23" t="str">
        <f t="shared" si="5"/>
        <v>Not Applicable</v>
      </c>
      <c r="D8" s="22" t="s">
        <v>580</v>
      </c>
      <c r="E8" s="22" t="s">
        <v>46</v>
      </c>
      <c r="F8" s="22" t="str">
        <f t="shared" si="0"/>
        <v>NA</v>
      </c>
      <c r="G8" s="22" t="str">
        <f t="shared" si="1"/>
        <v/>
      </c>
      <c r="H8" s="22" t="str">
        <f t="shared" si="2"/>
        <v/>
      </c>
      <c r="I8" s="22" t="str">
        <f t="shared" si="3"/>
        <v/>
      </c>
      <c r="J8" s="22" t="str">
        <f t="shared" si="4"/>
        <v/>
      </c>
      <c r="K8" s="14"/>
    </row>
    <row r="9" spans="2:11" ht="29">
      <c r="B9" s="22" t="s">
        <v>97</v>
      </c>
      <c r="C9" s="23" t="str">
        <f t="shared" si="5"/>
        <v>Not Applicable</v>
      </c>
      <c r="D9" s="22" t="s">
        <v>580</v>
      </c>
      <c r="E9" s="22" t="s">
        <v>30</v>
      </c>
      <c r="F9" s="22" t="str">
        <f t="shared" si="0"/>
        <v>NA</v>
      </c>
      <c r="G9" s="22" t="str">
        <f t="shared" si="1"/>
        <v/>
      </c>
      <c r="H9" s="22" t="str">
        <f t="shared" si="2"/>
        <v/>
      </c>
      <c r="I9" s="22" t="str">
        <f t="shared" si="3"/>
        <v/>
      </c>
      <c r="J9" s="22" t="str">
        <f t="shared" si="4"/>
        <v/>
      </c>
      <c r="K9" s="14"/>
    </row>
    <row r="10" spans="2:11" ht="58">
      <c r="B10" s="22" t="s">
        <v>98</v>
      </c>
      <c r="C10" s="23" t="str">
        <f t="shared" si="5"/>
        <v>Not Applicable</v>
      </c>
      <c r="D10" s="22" t="s">
        <v>580</v>
      </c>
      <c r="E10" s="22" t="s">
        <v>709</v>
      </c>
      <c r="F10" s="22" t="str">
        <f t="shared" si="0"/>
        <v>NA</v>
      </c>
      <c r="G10" s="22" t="str">
        <f t="shared" si="1"/>
        <v/>
      </c>
      <c r="H10" s="22" t="str">
        <f t="shared" si="2"/>
        <v/>
      </c>
      <c r="I10" s="22" t="str">
        <f t="shared" si="3"/>
        <v/>
      </c>
      <c r="J10" s="22" t="str">
        <f t="shared" si="4"/>
        <v/>
      </c>
      <c r="K10" s="14"/>
    </row>
    <row r="11" spans="2:11" ht="43.5">
      <c r="B11" s="22" t="s">
        <v>99</v>
      </c>
      <c r="C11" s="23" t="str">
        <f t="shared" si="5"/>
        <v>Not Applicable</v>
      </c>
      <c r="D11" s="22" t="s">
        <v>580</v>
      </c>
      <c r="E11" s="22" t="s">
        <v>710</v>
      </c>
      <c r="F11" s="22" t="str">
        <f t="shared" si="0"/>
        <v>NA</v>
      </c>
      <c r="G11" s="22" t="str">
        <f t="shared" si="1"/>
        <v/>
      </c>
      <c r="H11" s="22" t="str">
        <f t="shared" si="2"/>
        <v/>
      </c>
      <c r="I11" s="22" t="str">
        <f t="shared" si="3"/>
        <v/>
      </c>
      <c r="J11" s="22" t="str">
        <f t="shared" si="4"/>
        <v/>
      </c>
      <c r="K11" s="14"/>
    </row>
    <row r="12" spans="2:11" ht="29">
      <c r="B12" s="22" t="s">
        <v>100</v>
      </c>
      <c r="C12" s="23" t="str">
        <f t="shared" si="5"/>
        <v>Not Applicable</v>
      </c>
      <c r="D12" s="22" t="s">
        <v>580</v>
      </c>
      <c r="E12" s="22" t="s">
        <v>32</v>
      </c>
      <c r="F12" s="22" t="str">
        <f t="shared" si="0"/>
        <v>NA</v>
      </c>
      <c r="G12" s="22" t="str">
        <f t="shared" si="1"/>
        <v/>
      </c>
      <c r="H12" s="22" t="str">
        <f t="shared" si="2"/>
        <v/>
      </c>
      <c r="I12" s="22" t="str">
        <f t="shared" si="3"/>
        <v/>
      </c>
      <c r="J12" s="22" t="str">
        <f t="shared" si="4"/>
        <v/>
      </c>
      <c r="K12" s="14"/>
    </row>
    <row r="13" spans="2:11" ht="29">
      <c r="B13" s="22" t="s">
        <v>101</v>
      </c>
      <c r="C13" s="23" t="str">
        <f t="shared" si="5"/>
        <v>Not Applicable</v>
      </c>
      <c r="D13" s="22" t="s">
        <v>578</v>
      </c>
      <c r="E13" s="22" t="s">
        <v>42</v>
      </c>
      <c r="F13" s="22" t="str">
        <f t="shared" si="0"/>
        <v>NA</v>
      </c>
      <c r="G13" s="22" t="str">
        <f t="shared" si="1"/>
        <v/>
      </c>
      <c r="H13" s="22" t="str">
        <f t="shared" si="2"/>
        <v/>
      </c>
      <c r="I13" s="22" t="str">
        <f t="shared" si="3"/>
        <v/>
      </c>
      <c r="J13" s="22" t="str">
        <f t="shared" si="4"/>
        <v/>
      </c>
      <c r="K13" s="14"/>
    </row>
    <row r="14" spans="2:11" ht="29">
      <c r="B14" s="22" t="s">
        <v>102</v>
      </c>
      <c r="C14" s="23" t="str">
        <f t="shared" si="5"/>
        <v>Not Applicable</v>
      </c>
      <c r="D14" s="22" t="s">
        <v>580</v>
      </c>
      <c r="E14" s="22" t="s">
        <v>38</v>
      </c>
      <c r="F14" s="22" t="str">
        <f t="shared" si="0"/>
        <v>NA</v>
      </c>
      <c r="G14" s="22" t="str">
        <f t="shared" si="1"/>
        <v/>
      </c>
      <c r="H14" s="22" t="str">
        <f t="shared" si="2"/>
        <v/>
      </c>
      <c r="I14" s="22" t="str">
        <f t="shared" si="3"/>
        <v/>
      </c>
      <c r="J14" s="22" t="str">
        <f t="shared" si="4"/>
        <v/>
      </c>
      <c r="K14" s="14"/>
    </row>
    <row r="15" spans="2:11" ht="29">
      <c r="B15" s="22" t="s">
        <v>103</v>
      </c>
      <c r="C15" s="23" t="str">
        <f t="shared" si="5"/>
        <v>Not Applicable</v>
      </c>
      <c r="D15" s="22" t="s">
        <v>580</v>
      </c>
      <c r="E15" s="22" t="s">
        <v>37</v>
      </c>
      <c r="F15" s="22" t="str">
        <f t="shared" si="0"/>
        <v>NA</v>
      </c>
      <c r="G15" s="22" t="str">
        <f t="shared" si="1"/>
        <v/>
      </c>
      <c r="H15" s="22" t="str">
        <f t="shared" si="2"/>
        <v/>
      </c>
      <c r="I15" s="22" t="str">
        <f t="shared" si="3"/>
        <v/>
      </c>
      <c r="J15" s="22" t="str">
        <f t="shared" si="4"/>
        <v/>
      </c>
      <c r="K15" s="14"/>
    </row>
    <row r="16" spans="2:11" ht="58">
      <c r="B16" s="22" t="s">
        <v>104</v>
      </c>
      <c r="C16" s="23" t="str">
        <f t="shared" si="5"/>
        <v>Not Applicable</v>
      </c>
      <c r="D16" s="22" t="s">
        <v>580</v>
      </c>
      <c r="E16" s="22" t="s">
        <v>711</v>
      </c>
      <c r="F16" s="22" t="str">
        <f t="shared" si="0"/>
        <v>NA</v>
      </c>
      <c r="G16" s="22" t="str">
        <f t="shared" si="1"/>
        <v/>
      </c>
      <c r="H16" s="22" t="str">
        <f t="shared" si="2"/>
        <v/>
      </c>
      <c r="I16" s="22" t="str">
        <f t="shared" si="3"/>
        <v/>
      </c>
      <c r="J16" s="22" t="str">
        <f t="shared" si="4"/>
        <v/>
      </c>
      <c r="K16" s="14"/>
    </row>
    <row r="17" spans="2:11" ht="29">
      <c r="B17" s="22" t="s">
        <v>105</v>
      </c>
      <c r="C17" s="23" t="str">
        <f t="shared" si="5"/>
        <v>Not Applicable</v>
      </c>
      <c r="D17" s="22" t="s">
        <v>580</v>
      </c>
      <c r="E17" s="22" t="s">
        <v>31</v>
      </c>
      <c r="F17" s="22" t="str">
        <f t="shared" si="0"/>
        <v>NA</v>
      </c>
      <c r="G17" s="22" t="str">
        <f t="shared" si="1"/>
        <v/>
      </c>
      <c r="H17" s="22" t="str">
        <f t="shared" si="2"/>
        <v/>
      </c>
      <c r="I17" s="22" t="str">
        <f t="shared" si="3"/>
        <v/>
      </c>
      <c r="J17" s="22" t="str">
        <f t="shared" si="4"/>
        <v/>
      </c>
      <c r="K17" s="14"/>
    </row>
    <row r="18" spans="2:11" ht="29">
      <c r="B18" s="22" t="s">
        <v>106</v>
      </c>
      <c r="C18" s="23" t="str">
        <f t="shared" si="5"/>
        <v>Not Applicable</v>
      </c>
      <c r="D18" s="22" t="s">
        <v>578</v>
      </c>
      <c r="E18" s="22" t="s">
        <v>35</v>
      </c>
      <c r="F18" s="22" t="str">
        <f t="shared" si="0"/>
        <v>NA</v>
      </c>
      <c r="G18" s="22" t="str">
        <f t="shared" si="1"/>
        <v/>
      </c>
      <c r="H18" s="22" t="str">
        <f t="shared" si="2"/>
        <v/>
      </c>
      <c r="I18" s="22" t="str">
        <f t="shared" si="3"/>
        <v/>
      </c>
      <c r="J18" s="22" t="str">
        <f t="shared" si="4"/>
        <v/>
      </c>
      <c r="K18" s="14"/>
    </row>
    <row r="19" spans="2:11" ht="43.5">
      <c r="B19" s="22" t="s">
        <v>107</v>
      </c>
      <c r="C19" s="23" t="str">
        <f t="shared" si="5"/>
        <v>Not Applicable</v>
      </c>
      <c r="D19" s="22" t="s">
        <v>578</v>
      </c>
      <c r="E19" s="22" t="s">
        <v>712</v>
      </c>
      <c r="F19" s="22" t="str">
        <f t="shared" si="0"/>
        <v>NA</v>
      </c>
      <c r="G19" s="22" t="str">
        <f t="shared" si="1"/>
        <v/>
      </c>
      <c r="H19" s="22" t="str">
        <f t="shared" si="2"/>
        <v/>
      </c>
      <c r="I19" s="22" t="str">
        <f t="shared" si="3"/>
        <v/>
      </c>
      <c r="J19" s="22" t="str">
        <f t="shared" si="4"/>
        <v/>
      </c>
      <c r="K19" s="14"/>
    </row>
    <row r="20" spans="2:11" ht="29">
      <c r="B20" s="22" t="s">
        <v>108</v>
      </c>
      <c r="C20" s="23" t="str">
        <f t="shared" si="5"/>
        <v>Not Applicable</v>
      </c>
      <c r="D20" s="22" t="s">
        <v>580</v>
      </c>
      <c r="E20" s="22" t="s">
        <v>39</v>
      </c>
      <c r="F20" s="22" t="str">
        <f t="shared" si="0"/>
        <v>NA</v>
      </c>
      <c r="G20" s="22" t="str">
        <f t="shared" si="1"/>
        <v/>
      </c>
      <c r="H20" s="22" t="str">
        <f t="shared" si="2"/>
        <v/>
      </c>
      <c r="I20" s="22" t="str">
        <f t="shared" si="3"/>
        <v/>
      </c>
      <c r="J20" s="22" t="str">
        <f t="shared" si="4"/>
        <v/>
      </c>
      <c r="K20" s="14"/>
    </row>
    <row r="21" spans="2:11" ht="29">
      <c r="B21" s="22" t="s">
        <v>109</v>
      </c>
      <c r="C21" s="23" t="str">
        <f t="shared" si="5"/>
        <v>Not Applicable</v>
      </c>
      <c r="D21" s="22" t="s">
        <v>580</v>
      </c>
      <c r="E21" s="22" t="s">
        <v>715</v>
      </c>
      <c r="F21" s="22" t="str">
        <f t="shared" si="0"/>
        <v>NA</v>
      </c>
      <c r="G21" s="22" t="str">
        <f t="shared" si="1"/>
        <v/>
      </c>
      <c r="H21" s="22" t="str">
        <f t="shared" si="2"/>
        <v/>
      </c>
      <c r="I21" s="22" t="str">
        <f t="shared" si="3"/>
        <v/>
      </c>
      <c r="J21" s="22" t="str">
        <f t="shared" si="4"/>
        <v/>
      </c>
      <c r="K21" s="14"/>
    </row>
    <row r="22" spans="2:11" ht="29">
      <c r="B22" s="22" t="s">
        <v>110</v>
      </c>
      <c r="C22" s="23" t="str">
        <f t="shared" si="5"/>
        <v>Not Applicable</v>
      </c>
      <c r="D22" s="22" t="s">
        <v>578</v>
      </c>
      <c r="E22" s="22" t="str">
        <f>E21</f>
        <v>Meeting Minutes</v>
      </c>
      <c r="F22" s="22" t="str">
        <f t="shared" si="0"/>
        <v>NA</v>
      </c>
      <c r="G22" s="22" t="str">
        <f t="shared" si="1"/>
        <v/>
      </c>
      <c r="H22" s="22" t="str">
        <f t="shared" si="2"/>
        <v/>
      </c>
      <c r="I22" s="22" t="str">
        <f t="shared" si="3"/>
        <v/>
      </c>
      <c r="J22" s="22" t="str">
        <f t="shared" si="4"/>
        <v/>
      </c>
      <c r="K22" s="14"/>
    </row>
    <row r="23" spans="2:11" ht="29">
      <c r="B23" s="22" t="s">
        <v>111</v>
      </c>
      <c r="C23" s="23" t="str">
        <f t="shared" si="5"/>
        <v>Not Applicable</v>
      </c>
      <c r="D23" s="22" t="s">
        <v>578</v>
      </c>
      <c r="E23" s="22" t="s">
        <v>32</v>
      </c>
      <c r="F23" s="22" t="str">
        <f t="shared" si="0"/>
        <v>NA</v>
      </c>
      <c r="G23" s="22" t="str">
        <f t="shared" si="1"/>
        <v/>
      </c>
      <c r="H23" s="22" t="str">
        <f t="shared" si="2"/>
        <v/>
      </c>
      <c r="I23" s="22" t="str">
        <f t="shared" si="3"/>
        <v/>
      </c>
      <c r="J23" s="22" t="str">
        <f t="shared" si="4"/>
        <v/>
      </c>
      <c r="K23" s="14"/>
    </row>
    <row r="24" spans="2:11" ht="29">
      <c r="B24" s="22" t="s">
        <v>112</v>
      </c>
      <c r="C24" s="23" t="str">
        <f t="shared" si="5"/>
        <v>Not Applicable</v>
      </c>
      <c r="D24" s="22" t="s">
        <v>580</v>
      </c>
      <c r="E24" s="22" t="s">
        <v>45</v>
      </c>
      <c r="F24" s="22" t="str">
        <f t="shared" si="0"/>
        <v>NA</v>
      </c>
      <c r="G24" s="22" t="str">
        <f t="shared" si="1"/>
        <v/>
      </c>
      <c r="H24" s="22" t="str">
        <f t="shared" si="2"/>
        <v/>
      </c>
      <c r="I24" s="22" t="str">
        <f t="shared" si="3"/>
        <v/>
      </c>
      <c r="J24" s="22" t="str">
        <f t="shared" si="4"/>
        <v/>
      </c>
      <c r="K24" s="14"/>
    </row>
    <row r="25" spans="2:11" ht="58">
      <c r="B25" s="22" t="s">
        <v>113</v>
      </c>
      <c r="C25" s="23" t="str">
        <f t="shared" si="5"/>
        <v>Not Applicable</v>
      </c>
      <c r="D25" s="22" t="s">
        <v>580</v>
      </c>
      <c r="E25" s="22" t="s">
        <v>713</v>
      </c>
      <c r="F25" s="22" t="str">
        <f t="shared" si="0"/>
        <v>NA</v>
      </c>
      <c r="G25" s="22" t="str">
        <f t="shared" si="1"/>
        <v/>
      </c>
      <c r="H25" s="22" t="str">
        <f t="shared" si="2"/>
        <v/>
      </c>
      <c r="I25" s="22" t="str">
        <f t="shared" si="3"/>
        <v/>
      </c>
      <c r="J25" s="22" t="str">
        <f t="shared" si="4"/>
        <v/>
      </c>
      <c r="K25" s="14"/>
    </row>
    <row r="26" spans="2:11" ht="58">
      <c r="B26" s="22" t="s">
        <v>114</v>
      </c>
      <c r="C26" s="23" t="str">
        <f t="shared" si="5"/>
        <v>Not Applicable</v>
      </c>
      <c r="D26" s="22" t="s">
        <v>580</v>
      </c>
      <c r="E26" s="22" t="s">
        <v>714</v>
      </c>
      <c r="F26" s="117" t="str">
        <f t="shared" si="0"/>
        <v>NA</v>
      </c>
      <c r="G26" s="22" t="str">
        <f t="shared" si="1"/>
        <v/>
      </c>
      <c r="H26" s="22" t="str">
        <f t="shared" si="2"/>
        <v/>
      </c>
      <c r="I26" s="22" t="str">
        <f t="shared" si="3"/>
        <v/>
      </c>
      <c r="J26" s="22" t="str">
        <f t="shared" si="4"/>
        <v/>
      </c>
      <c r="K26" s="14"/>
    </row>
  </sheetData>
  <conditionalFormatting sqref="C1:C1048576">
    <cfRule type="containsText" dxfId="89" priority="11" operator="containsText" text="Not Applicable">
      <formula>NOT(ISERROR(SEARCH("Not Applicable",C1)))</formula>
    </cfRule>
    <cfRule type="containsText" dxfId="88" priority="12" operator="containsText" text="Applicable">
      <formula>NOT(ISERROR(SEARCH("Applicable",C1)))</formula>
    </cfRule>
  </conditionalFormatting>
  <conditionalFormatting sqref="F4:F50">
    <cfRule type="containsText" dxfId="87" priority="7" operator="containsText" text="Not">
      <formula>NOT(ISERROR(SEARCH("Not",F4)))</formula>
    </cfRule>
    <cfRule type="containsText" dxfId="86" priority="8" operator="containsText" text="Comply">
      <formula>NOT(ISERROR(SEARCH("Comply",F4)))</formula>
    </cfRule>
  </conditionalFormatting>
  <conditionalFormatting sqref="G4:G26">
    <cfRule type="containsText" dxfId="85" priority="4" operator="containsText" text="Gaps to be stated here">
      <formula>NOT(ISERROR(SEARCH("Gaps to be stated here",G4)))</formula>
    </cfRule>
  </conditionalFormatting>
  <conditionalFormatting sqref="H4:H26">
    <cfRule type="containsText" dxfId="84" priority="5" operator="containsText" text="action to be stated here">
      <formula>NOT(ISERROR(SEARCH("action to be stated here",H4)))</formula>
    </cfRule>
  </conditionalFormatting>
  <conditionalFormatting sqref="I4:I26">
    <cfRule type="containsText" dxfId="83" priority="3" operator="containsText" text="Name of PIC to be stated here">
      <formula>NOT(ISERROR(SEARCH("Name of PIC to be stated here",I4)))</formula>
    </cfRule>
  </conditionalFormatting>
  <conditionalFormatting sqref="J4:J26">
    <cfRule type="containsText" dxfId="82" priority="2" operator="containsText" text="action date to be stated here">
      <formula>NOT(ISERROR(SEARCH("action date to be stated here",J4)))</formula>
    </cfRule>
  </conditionalFormatting>
  <conditionalFormatting sqref="K3">
    <cfRule type="expression" dxfId="81" priority="1">
      <formula>$K$2&gt;0</formula>
    </cfRule>
  </conditionalFormatting>
  <conditionalFormatting sqref="K4:K26">
    <cfRule type="expression" dxfId="8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8CB2A6BF-48EC-4137-956A-8B7E24E3CDAB}">
          <x14:formula1>
            <xm:f>'back-data'!$B$4:$B$6</xm:f>
          </x14:formula1>
          <xm:sqref>D4:D26</xm:sqref>
        </x14:dataValidation>
        <x14:dataValidation type="list" allowBlank="1" showInputMessage="1" showErrorMessage="1" xr:uid="{33948602-2D7B-4A40-9FB6-CF8BE2E6C91E}">
          <x14:formula1>
            <xm:f>'back-data'!$B$13:$B$15</xm:f>
          </x14:formula1>
          <xm:sqref>F4:F26</xm:sqref>
        </x14:dataValidation>
        <x14:dataValidation type="list" allowBlank="1" showInputMessage="1" showErrorMessage="1" xr:uid="{0889E835-652D-4689-A33D-2A9474E9B651}">
          <x14:formula1>
            <xm:f>Action_Tracker_Data!$T$4:$T$13</xm:f>
          </x14:formula1>
          <xm:sqref>K4:K26</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98992-EE6C-43E8-B114-826F8751C6F4}">
  <sheetPr>
    <tabColor rgb="FF006E3C"/>
  </sheetPr>
  <dimension ref="B1:K39"/>
  <sheetViews>
    <sheetView showGridLines="0" showRowColHeaders="0" topLeftCell="D27" zoomScaleNormal="100" workbookViewId="0">
      <selection activeCell="K3" sqref="K3"/>
    </sheetView>
  </sheetViews>
  <sheetFormatPr defaultRowHeight="14.5"/>
  <cols>
    <col min="1" max="1" width="27.81640625" style="8" customWidth="1"/>
    <col min="2" max="2" width="43.81640625" style="8" customWidth="1"/>
    <col min="3" max="3" width="15.1796875" style="8" customWidth="1"/>
    <col min="4" max="4" width="22.453125" style="8" customWidth="1"/>
    <col min="5" max="5" width="21.089843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274</v>
      </c>
      <c r="F1" s="15"/>
      <c r="G1" s="8"/>
      <c r="H1" s="8"/>
      <c r="I1" s="8"/>
      <c r="J1" s="8"/>
    </row>
    <row r="2" spans="2:11" customFormat="1">
      <c r="F2" s="15"/>
      <c r="G2" s="8"/>
      <c r="H2" s="8"/>
      <c r="I2" s="8"/>
      <c r="J2" s="8"/>
      <c r="K2" s="132">
        <f>COUNTIF(F4:F100,"Not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32" t="s">
        <v>658</v>
      </c>
      <c r="C4" s="29" t="str">
        <f>IF(Home!B43=TRUE,"Applicable","Not Applicable")</f>
        <v>Not Applicable</v>
      </c>
      <c r="D4" s="32" t="s">
        <v>580</v>
      </c>
      <c r="E4" s="32" t="s">
        <v>31</v>
      </c>
      <c r="F4" s="22" t="str">
        <f t="shared" ref="F4:F39"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43.5">
      <c r="B5" s="22" t="s">
        <v>659</v>
      </c>
      <c r="C5" s="23" t="str">
        <f>IF(Home!B43=TRUE,"Applicable","Not Applicable")</f>
        <v>Not Applicable</v>
      </c>
      <c r="D5" s="22" t="s">
        <v>578</v>
      </c>
      <c r="E5" s="22" t="s">
        <v>32</v>
      </c>
      <c r="F5" s="22" t="str">
        <f t="shared" si="0"/>
        <v>NA</v>
      </c>
      <c r="G5" s="22" t="str">
        <f t="shared" ref="G5:G39" si="1">IF(F5="not comply","Gaps to be stated here","")</f>
        <v/>
      </c>
      <c r="H5" s="22" t="str">
        <f t="shared" ref="H5:H39" si="2">IF(F5="not comply","action to be stated here","")</f>
        <v/>
      </c>
      <c r="I5" s="22" t="str">
        <f t="shared" ref="I5:I39" si="3">IF(F5="not comply","Name of PIC to be stated here","")</f>
        <v/>
      </c>
      <c r="J5" s="22" t="str">
        <f t="shared" ref="J5:J39" si="4">IF(F5="not comply","action date to be stated here","")</f>
        <v/>
      </c>
      <c r="K5" s="14"/>
    </row>
    <row r="6" spans="2:11" ht="43.5">
      <c r="B6" s="22" t="s">
        <v>660</v>
      </c>
      <c r="C6" s="23" t="str">
        <f>C5</f>
        <v>Not Applicable</v>
      </c>
      <c r="D6" s="22" t="s">
        <v>580</v>
      </c>
      <c r="E6" s="22" t="s">
        <v>42</v>
      </c>
      <c r="F6" s="22" t="str">
        <f t="shared" si="0"/>
        <v>NA</v>
      </c>
      <c r="G6" s="22" t="str">
        <f t="shared" si="1"/>
        <v/>
      </c>
      <c r="H6" s="22" t="str">
        <f t="shared" si="2"/>
        <v/>
      </c>
      <c r="I6" s="22" t="str">
        <f t="shared" si="3"/>
        <v/>
      </c>
      <c r="J6" s="22" t="str">
        <f t="shared" si="4"/>
        <v/>
      </c>
      <c r="K6" s="14"/>
    </row>
    <row r="7" spans="2:11" ht="72.5">
      <c r="B7" s="22" t="s">
        <v>661</v>
      </c>
      <c r="C7" s="23" t="str">
        <f t="shared" ref="C7:C39" si="5">C6</f>
        <v>Not Applicable</v>
      </c>
      <c r="D7" s="22" t="s">
        <v>578</v>
      </c>
      <c r="E7" s="22" t="s">
        <v>725</v>
      </c>
      <c r="F7" s="22" t="str">
        <f t="shared" si="0"/>
        <v>NA</v>
      </c>
      <c r="G7" s="22" t="str">
        <f t="shared" si="1"/>
        <v/>
      </c>
      <c r="H7" s="22" t="str">
        <f t="shared" si="2"/>
        <v/>
      </c>
      <c r="I7" s="22" t="str">
        <f t="shared" si="3"/>
        <v/>
      </c>
      <c r="J7" s="22" t="str">
        <f t="shared" si="4"/>
        <v/>
      </c>
      <c r="K7" s="14"/>
    </row>
    <row r="8" spans="2:11" ht="43.5">
      <c r="B8" s="22" t="s">
        <v>662</v>
      </c>
      <c r="C8" s="23" t="str">
        <f t="shared" si="5"/>
        <v>Not Applicable</v>
      </c>
      <c r="D8" s="22" t="s">
        <v>578</v>
      </c>
      <c r="E8" s="22" t="s">
        <v>44</v>
      </c>
      <c r="F8" s="22" t="str">
        <f t="shared" si="0"/>
        <v>NA</v>
      </c>
      <c r="G8" s="22" t="str">
        <f t="shared" si="1"/>
        <v/>
      </c>
      <c r="H8" s="22" t="str">
        <f t="shared" si="2"/>
        <v/>
      </c>
      <c r="I8" s="22" t="str">
        <f t="shared" si="3"/>
        <v/>
      </c>
      <c r="J8" s="22" t="str">
        <f t="shared" si="4"/>
        <v/>
      </c>
      <c r="K8" s="14"/>
    </row>
    <row r="9" spans="2:11" ht="43.5">
      <c r="B9" s="22" t="s">
        <v>663</v>
      </c>
      <c r="C9" s="23" t="str">
        <f t="shared" si="5"/>
        <v>Not Applicable</v>
      </c>
      <c r="D9" s="22" t="s">
        <v>580</v>
      </c>
      <c r="E9" s="22" t="s">
        <v>45</v>
      </c>
      <c r="F9" s="22" t="str">
        <f t="shared" si="0"/>
        <v>NA</v>
      </c>
      <c r="G9" s="22" t="str">
        <f t="shared" si="1"/>
        <v/>
      </c>
      <c r="H9" s="22" t="str">
        <f t="shared" si="2"/>
        <v/>
      </c>
      <c r="I9" s="22" t="str">
        <f t="shared" si="3"/>
        <v/>
      </c>
      <c r="J9" s="22" t="str">
        <f t="shared" si="4"/>
        <v/>
      </c>
      <c r="K9" s="14"/>
    </row>
    <row r="10" spans="2:11" ht="43.5">
      <c r="B10" s="22" t="s">
        <v>664</v>
      </c>
      <c r="C10" s="23" t="str">
        <f t="shared" si="5"/>
        <v>Not Applicable</v>
      </c>
      <c r="D10" s="22" t="s">
        <v>580</v>
      </c>
      <c r="E10" s="22" t="s">
        <v>30</v>
      </c>
      <c r="F10" s="22" t="str">
        <f t="shared" si="0"/>
        <v>NA</v>
      </c>
      <c r="G10" s="22" t="str">
        <f t="shared" si="1"/>
        <v/>
      </c>
      <c r="H10" s="22" t="str">
        <f t="shared" si="2"/>
        <v/>
      </c>
      <c r="I10" s="22" t="str">
        <f t="shared" si="3"/>
        <v/>
      </c>
      <c r="J10" s="22" t="str">
        <f t="shared" si="4"/>
        <v/>
      </c>
      <c r="K10" s="14"/>
    </row>
    <row r="11" spans="2:11" ht="43.5">
      <c r="B11" s="22" t="s">
        <v>665</v>
      </c>
      <c r="C11" s="23" t="str">
        <f t="shared" si="5"/>
        <v>Not Applicable</v>
      </c>
      <c r="D11" s="22" t="s">
        <v>580</v>
      </c>
      <c r="E11" s="22" t="s">
        <v>55</v>
      </c>
      <c r="F11" s="22" t="str">
        <f t="shared" si="0"/>
        <v>NA</v>
      </c>
      <c r="G11" s="22" t="str">
        <f t="shared" si="1"/>
        <v/>
      </c>
      <c r="H11" s="22" t="str">
        <f t="shared" si="2"/>
        <v/>
      </c>
      <c r="I11" s="22" t="str">
        <f t="shared" si="3"/>
        <v/>
      </c>
      <c r="J11" s="22" t="str">
        <f t="shared" si="4"/>
        <v/>
      </c>
      <c r="K11" s="14"/>
    </row>
    <row r="12" spans="2:11" ht="58">
      <c r="B12" s="22" t="s">
        <v>666</v>
      </c>
      <c r="C12" s="23" t="str">
        <f t="shared" si="5"/>
        <v>Not Applicable</v>
      </c>
      <c r="D12" s="22" t="s">
        <v>580</v>
      </c>
      <c r="E12" s="22" t="s">
        <v>726</v>
      </c>
      <c r="F12" s="22" t="str">
        <f t="shared" si="0"/>
        <v>NA</v>
      </c>
      <c r="G12" s="22" t="str">
        <f t="shared" si="1"/>
        <v/>
      </c>
      <c r="H12" s="22" t="str">
        <f t="shared" si="2"/>
        <v/>
      </c>
      <c r="I12" s="22" t="str">
        <f t="shared" si="3"/>
        <v/>
      </c>
      <c r="J12" s="22" t="str">
        <f t="shared" si="4"/>
        <v/>
      </c>
      <c r="K12" s="14"/>
    </row>
    <row r="13" spans="2:11" ht="29">
      <c r="B13" s="22" t="s">
        <v>667</v>
      </c>
      <c r="C13" s="23" t="str">
        <f t="shared" si="5"/>
        <v>Not Applicable</v>
      </c>
      <c r="D13" s="22" t="s">
        <v>578</v>
      </c>
      <c r="E13" s="22" t="s">
        <v>32</v>
      </c>
      <c r="F13" s="22" t="str">
        <f t="shared" si="0"/>
        <v>NA</v>
      </c>
      <c r="G13" s="22" t="str">
        <f t="shared" si="1"/>
        <v/>
      </c>
      <c r="H13" s="22" t="str">
        <f t="shared" si="2"/>
        <v/>
      </c>
      <c r="I13" s="22" t="str">
        <f t="shared" si="3"/>
        <v/>
      </c>
      <c r="J13" s="22" t="str">
        <f t="shared" si="4"/>
        <v/>
      </c>
      <c r="K13" s="14"/>
    </row>
    <row r="14" spans="2:11" ht="43.5">
      <c r="B14" s="22" t="s">
        <v>668</v>
      </c>
      <c r="C14" s="23" t="str">
        <f t="shared" si="5"/>
        <v>Not Applicable</v>
      </c>
      <c r="D14" s="22" t="s">
        <v>580</v>
      </c>
      <c r="E14" s="22" t="s">
        <v>36</v>
      </c>
      <c r="F14" s="22" t="str">
        <f t="shared" si="0"/>
        <v>NA</v>
      </c>
      <c r="G14" s="22" t="str">
        <f t="shared" si="1"/>
        <v/>
      </c>
      <c r="H14" s="22" t="str">
        <f t="shared" si="2"/>
        <v/>
      </c>
      <c r="I14" s="22" t="str">
        <f t="shared" si="3"/>
        <v/>
      </c>
      <c r="J14" s="22" t="str">
        <f t="shared" si="4"/>
        <v/>
      </c>
      <c r="K14" s="14"/>
    </row>
    <row r="15" spans="2:11" ht="43.5">
      <c r="B15" s="22" t="s">
        <v>669</v>
      </c>
      <c r="C15" s="23" t="str">
        <f t="shared" si="5"/>
        <v>Not Applicable</v>
      </c>
      <c r="D15" s="22" t="s">
        <v>580</v>
      </c>
      <c r="E15" s="22" t="s">
        <v>38</v>
      </c>
      <c r="F15" s="22" t="str">
        <f t="shared" si="0"/>
        <v>NA</v>
      </c>
      <c r="G15" s="22" t="str">
        <f t="shared" si="1"/>
        <v/>
      </c>
      <c r="H15" s="22" t="str">
        <f t="shared" si="2"/>
        <v/>
      </c>
      <c r="I15" s="22" t="str">
        <f t="shared" si="3"/>
        <v/>
      </c>
      <c r="J15" s="22" t="str">
        <f t="shared" si="4"/>
        <v/>
      </c>
      <c r="K15" s="14"/>
    </row>
    <row r="16" spans="2:11" ht="43.5">
      <c r="B16" s="22" t="s">
        <v>670</v>
      </c>
      <c r="C16" s="23" t="str">
        <f t="shared" si="5"/>
        <v>Not Applicable</v>
      </c>
      <c r="D16" s="22" t="s">
        <v>580</v>
      </c>
      <c r="E16" s="22" t="s">
        <v>55</v>
      </c>
      <c r="F16" s="22" t="str">
        <f t="shared" si="0"/>
        <v>NA</v>
      </c>
      <c r="G16" s="22" t="str">
        <f t="shared" si="1"/>
        <v/>
      </c>
      <c r="H16" s="22" t="str">
        <f t="shared" si="2"/>
        <v/>
      </c>
      <c r="I16" s="22" t="str">
        <f t="shared" si="3"/>
        <v/>
      </c>
      <c r="J16" s="22" t="str">
        <f t="shared" si="4"/>
        <v/>
      </c>
      <c r="K16" s="14"/>
    </row>
    <row r="17" spans="2:11" ht="43.5">
      <c r="B17" s="22" t="s">
        <v>671</v>
      </c>
      <c r="C17" s="23" t="str">
        <f t="shared" si="5"/>
        <v>Not Applicable</v>
      </c>
      <c r="D17" s="22" t="s">
        <v>580</v>
      </c>
      <c r="E17" s="22" t="s">
        <v>55</v>
      </c>
      <c r="F17" s="22" t="str">
        <f t="shared" si="0"/>
        <v>NA</v>
      </c>
      <c r="G17" s="22" t="str">
        <f t="shared" si="1"/>
        <v/>
      </c>
      <c r="H17" s="22" t="str">
        <f t="shared" si="2"/>
        <v/>
      </c>
      <c r="I17" s="22" t="str">
        <f t="shared" si="3"/>
        <v/>
      </c>
      <c r="J17" s="22" t="str">
        <f t="shared" si="4"/>
        <v/>
      </c>
      <c r="K17" s="14"/>
    </row>
    <row r="18" spans="2:11" ht="43.5">
      <c r="B18" s="22" t="s">
        <v>672</v>
      </c>
      <c r="C18" s="23" t="str">
        <f t="shared" si="5"/>
        <v>Not Applicable</v>
      </c>
      <c r="D18" s="22" t="s">
        <v>580</v>
      </c>
      <c r="E18" s="22" t="s">
        <v>43</v>
      </c>
      <c r="F18" s="22" t="str">
        <f t="shared" si="0"/>
        <v>NA</v>
      </c>
      <c r="G18" s="22" t="str">
        <f t="shared" si="1"/>
        <v/>
      </c>
      <c r="H18" s="22" t="str">
        <f t="shared" si="2"/>
        <v/>
      </c>
      <c r="I18" s="22" t="str">
        <f t="shared" si="3"/>
        <v/>
      </c>
      <c r="J18" s="22" t="str">
        <f t="shared" si="4"/>
        <v/>
      </c>
      <c r="K18" s="14"/>
    </row>
    <row r="19" spans="2:11" ht="87">
      <c r="B19" s="22" t="s">
        <v>673</v>
      </c>
      <c r="C19" s="23" t="str">
        <f t="shared" si="5"/>
        <v>Not Applicable</v>
      </c>
      <c r="D19" s="22" t="s">
        <v>580</v>
      </c>
      <c r="E19" s="22" t="s">
        <v>727</v>
      </c>
      <c r="F19" s="22" t="str">
        <f t="shared" si="0"/>
        <v>NA</v>
      </c>
      <c r="G19" s="22" t="str">
        <f t="shared" si="1"/>
        <v/>
      </c>
      <c r="H19" s="22" t="str">
        <f t="shared" si="2"/>
        <v/>
      </c>
      <c r="I19" s="22" t="str">
        <f t="shared" si="3"/>
        <v/>
      </c>
      <c r="J19" s="22" t="str">
        <f t="shared" si="4"/>
        <v/>
      </c>
      <c r="K19" s="14"/>
    </row>
    <row r="20" spans="2:11" ht="43.5">
      <c r="B20" s="22" t="s">
        <v>674</v>
      </c>
      <c r="C20" s="23" t="str">
        <f t="shared" si="5"/>
        <v>Not Applicable</v>
      </c>
      <c r="D20" s="22" t="s">
        <v>579</v>
      </c>
      <c r="E20" s="22" t="s">
        <v>39</v>
      </c>
      <c r="F20" s="22" t="str">
        <f t="shared" si="0"/>
        <v>NA</v>
      </c>
      <c r="G20" s="22" t="str">
        <f t="shared" si="1"/>
        <v/>
      </c>
      <c r="H20" s="22" t="str">
        <f t="shared" si="2"/>
        <v/>
      </c>
      <c r="I20" s="22" t="str">
        <f t="shared" si="3"/>
        <v/>
      </c>
      <c r="J20" s="22" t="str">
        <f t="shared" si="4"/>
        <v/>
      </c>
      <c r="K20" s="14"/>
    </row>
    <row r="21" spans="2:11" ht="43.5">
      <c r="B21" s="22" t="s">
        <v>675</v>
      </c>
      <c r="C21" s="23" t="str">
        <f t="shared" si="5"/>
        <v>Not Applicable</v>
      </c>
      <c r="D21" s="22" t="s">
        <v>580</v>
      </c>
      <c r="E21" s="22" t="s">
        <v>246</v>
      </c>
      <c r="F21" s="22" t="str">
        <f t="shared" si="0"/>
        <v>NA</v>
      </c>
      <c r="G21" s="22" t="str">
        <f t="shared" si="1"/>
        <v/>
      </c>
      <c r="H21" s="22" t="str">
        <f t="shared" si="2"/>
        <v/>
      </c>
      <c r="I21" s="22" t="str">
        <f t="shared" si="3"/>
        <v/>
      </c>
      <c r="J21" s="22" t="str">
        <f t="shared" si="4"/>
        <v/>
      </c>
      <c r="K21" s="14"/>
    </row>
    <row r="22" spans="2:11" ht="43.5">
      <c r="B22" s="22" t="s">
        <v>676</v>
      </c>
      <c r="C22" s="23" t="str">
        <f t="shared" si="5"/>
        <v>Not Applicable</v>
      </c>
      <c r="D22" s="22" t="s">
        <v>580</v>
      </c>
      <c r="E22" s="22" t="s">
        <v>31</v>
      </c>
      <c r="F22" s="22" t="str">
        <f t="shared" si="0"/>
        <v>NA</v>
      </c>
      <c r="G22" s="22" t="str">
        <f t="shared" si="1"/>
        <v/>
      </c>
      <c r="H22" s="22" t="str">
        <f t="shared" si="2"/>
        <v/>
      </c>
      <c r="I22" s="22" t="str">
        <f t="shared" si="3"/>
        <v/>
      </c>
      <c r="J22" s="22" t="str">
        <f t="shared" si="4"/>
        <v/>
      </c>
      <c r="K22" s="14"/>
    </row>
    <row r="23" spans="2:11" ht="43.5">
      <c r="B23" s="22" t="s">
        <v>677</v>
      </c>
      <c r="C23" s="23" t="str">
        <f t="shared" si="5"/>
        <v>Not Applicable</v>
      </c>
      <c r="D23" s="22" t="s">
        <v>580</v>
      </c>
      <c r="E23" s="22" t="s">
        <v>49</v>
      </c>
      <c r="F23" s="22" t="str">
        <f t="shared" si="0"/>
        <v>NA</v>
      </c>
      <c r="G23" s="22" t="str">
        <f t="shared" si="1"/>
        <v/>
      </c>
      <c r="H23" s="22" t="str">
        <f t="shared" si="2"/>
        <v/>
      </c>
      <c r="I23" s="22" t="str">
        <f t="shared" si="3"/>
        <v/>
      </c>
      <c r="J23" s="22" t="str">
        <f t="shared" si="4"/>
        <v/>
      </c>
      <c r="K23" s="14"/>
    </row>
    <row r="24" spans="2:11" ht="58">
      <c r="B24" s="22" t="s">
        <v>678</v>
      </c>
      <c r="C24" s="23" t="str">
        <f t="shared" si="5"/>
        <v>Not Applicable</v>
      </c>
      <c r="D24" s="22" t="s">
        <v>580</v>
      </c>
      <c r="E24" s="22" t="s">
        <v>728</v>
      </c>
      <c r="F24" s="22" t="str">
        <f t="shared" si="0"/>
        <v>NA</v>
      </c>
      <c r="G24" s="22" t="str">
        <f t="shared" si="1"/>
        <v/>
      </c>
      <c r="H24" s="22" t="str">
        <f t="shared" si="2"/>
        <v/>
      </c>
      <c r="I24" s="22" t="str">
        <f t="shared" si="3"/>
        <v/>
      </c>
      <c r="J24" s="22" t="str">
        <f t="shared" si="4"/>
        <v/>
      </c>
      <c r="K24" s="14"/>
    </row>
    <row r="25" spans="2:11" ht="43.5">
      <c r="B25" s="22" t="s">
        <v>679</v>
      </c>
      <c r="C25" s="23" t="str">
        <f t="shared" si="5"/>
        <v>Not Applicable</v>
      </c>
      <c r="D25" s="22" t="s">
        <v>580</v>
      </c>
      <c r="E25" s="22" t="s">
        <v>246</v>
      </c>
      <c r="F25" s="22" t="str">
        <f t="shared" si="0"/>
        <v>NA</v>
      </c>
      <c r="G25" s="22" t="str">
        <f t="shared" si="1"/>
        <v/>
      </c>
      <c r="H25" s="22" t="str">
        <f t="shared" si="2"/>
        <v/>
      </c>
      <c r="I25" s="22" t="str">
        <f t="shared" si="3"/>
        <v/>
      </c>
      <c r="J25" s="22" t="str">
        <f t="shared" si="4"/>
        <v/>
      </c>
      <c r="K25" s="14"/>
    </row>
    <row r="26" spans="2:11" ht="43.5">
      <c r="B26" s="22" t="s">
        <v>680</v>
      </c>
      <c r="C26" s="23" t="str">
        <f t="shared" si="5"/>
        <v>Not Applicable</v>
      </c>
      <c r="D26" s="22" t="s">
        <v>578</v>
      </c>
      <c r="E26" s="22" t="s">
        <v>32</v>
      </c>
      <c r="F26" s="22" t="str">
        <f t="shared" si="0"/>
        <v>NA</v>
      </c>
      <c r="G26" s="22" t="str">
        <f t="shared" si="1"/>
        <v/>
      </c>
      <c r="H26" s="22" t="str">
        <f t="shared" si="2"/>
        <v/>
      </c>
      <c r="I26" s="22" t="str">
        <f t="shared" si="3"/>
        <v/>
      </c>
      <c r="J26" s="22" t="str">
        <f t="shared" si="4"/>
        <v/>
      </c>
      <c r="K26" s="14"/>
    </row>
    <row r="27" spans="2:11" ht="43.5">
      <c r="B27" s="22" t="s">
        <v>681</v>
      </c>
      <c r="C27" s="23" t="str">
        <f t="shared" si="5"/>
        <v>Not Applicable</v>
      </c>
      <c r="D27" s="22" t="s">
        <v>580</v>
      </c>
      <c r="E27" s="22" t="s">
        <v>30</v>
      </c>
      <c r="F27" s="22" t="str">
        <f t="shared" si="0"/>
        <v>NA</v>
      </c>
      <c r="G27" s="22" t="str">
        <f t="shared" si="1"/>
        <v/>
      </c>
      <c r="H27" s="22" t="str">
        <f t="shared" si="2"/>
        <v/>
      </c>
      <c r="I27" s="22" t="str">
        <f t="shared" si="3"/>
        <v/>
      </c>
      <c r="J27" s="22" t="str">
        <f t="shared" si="4"/>
        <v/>
      </c>
      <c r="K27" s="14"/>
    </row>
    <row r="28" spans="2:11" ht="43.5">
      <c r="B28" s="22" t="s">
        <v>682</v>
      </c>
      <c r="C28" s="23" t="str">
        <f t="shared" si="5"/>
        <v>Not Applicable</v>
      </c>
      <c r="D28" s="22" t="s">
        <v>580</v>
      </c>
      <c r="E28" s="22" t="s">
        <v>54</v>
      </c>
      <c r="F28" s="22" t="str">
        <f t="shared" si="0"/>
        <v>NA</v>
      </c>
      <c r="G28" s="22" t="str">
        <f t="shared" si="1"/>
        <v/>
      </c>
      <c r="H28" s="22" t="str">
        <f t="shared" si="2"/>
        <v/>
      </c>
      <c r="I28" s="22" t="str">
        <f t="shared" si="3"/>
        <v/>
      </c>
      <c r="J28" s="22" t="str">
        <f t="shared" si="4"/>
        <v/>
      </c>
      <c r="K28" s="14"/>
    </row>
    <row r="29" spans="2:11" ht="43.5">
      <c r="B29" s="22" t="s">
        <v>683</v>
      </c>
      <c r="C29" s="23" t="str">
        <f t="shared" si="5"/>
        <v>Not Applicable</v>
      </c>
      <c r="D29" s="22" t="s">
        <v>580</v>
      </c>
      <c r="E29" s="22" t="s">
        <v>36</v>
      </c>
      <c r="F29" s="22" t="str">
        <f t="shared" si="0"/>
        <v>NA</v>
      </c>
      <c r="G29" s="22" t="str">
        <f t="shared" si="1"/>
        <v/>
      </c>
      <c r="H29" s="22" t="str">
        <f t="shared" si="2"/>
        <v/>
      </c>
      <c r="I29" s="22" t="str">
        <f t="shared" si="3"/>
        <v/>
      </c>
      <c r="J29" s="22" t="str">
        <f t="shared" si="4"/>
        <v/>
      </c>
      <c r="K29" s="14"/>
    </row>
    <row r="30" spans="2:11" ht="43.5">
      <c r="B30" s="22" t="s">
        <v>684</v>
      </c>
      <c r="C30" s="23" t="str">
        <f t="shared" si="5"/>
        <v>Not Applicable</v>
      </c>
      <c r="D30" s="22" t="s">
        <v>580</v>
      </c>
      <c r="E30" s="22" t="s">
        <v>36</v>
      </c>
      <c r="F30" s="22" t="str">
        <f t="shared" si="0"/>
        <v>NA</v>
      </c>
      <c r="G30" s="22" t="str">
        <f t="shared" si="1"/>
        <v/>
      </c>
      <c r="H30" s="22" t="str">
        <f t="shared" si="2"/>
        <v/>
      </c>
      <c r="I30" s="22" t="str">
        <f t="shared" si="3"/>
        <v/>
      </c>
      <c r="J30" s="22" t="str">
        <f t="shared" si="4"/>
        <v/>
      </c>
      <c r="K30" s="14"/>
    </row>
    <row r="31" spans="2:11" ht="43.5">
      <c r="B31" s="22" t="s">
        <v>685</v>
      </c>
      <c r="C31" s="23" t="str">
        <f t="shared" si="5"/>
        <v>Not Applicable</v>
      </c>
      <c r="D31" s="22" t="s">
        <v>580</v>
      </c>
      <c r="E31" s="22" t="s">
        <v>30</v>
      </c>
      <c r="F31" s="22" t="str">
        <f t="shared" si="0"/>
        <v>NA</v>
      </c>
      <c r="G31" s="22" t="str">
        <f t="shared" si="1"/>
        <v/>
      </c>
      <c r="H31" s="22" t="str">
        <f t="shared" si="2"/>
        <v/>
      </c>
      <c r="I31" s="22" t="str">
        <f t="shared" si="3"/>
        <v/>
      </c>
      <c r="J31" s="22" t="str">
        <f t="shared" si="4"/>
        <v/>
      </c>
      <c r="K31" s="14"/>
    </row>
    <row r="32" spans="2:11" ht="43.5">
      <c r="B32" s="22" t="s">
        <v>686</v>
      </c>
      <c r="C32" s="23" t="str">
        <f t="shared" si="5"/>
        <v>Not Applicable</v>
      </c>
      <c r="D32" s="22" t="s">
        <v>580</v>
      </c>
      <c r="E32" s="22" t="s">
        <v>54</v>
      </c>
      <c r="F32" s="22" t="str">
        <f t="shared" si="0"/>
        <v>NA</v>
      </c>
      <c r="G32" s="22" t="str">
        <f t="shared" si="1"/>
        <v/>
      </c>
      <c r="H32" s="22" t="str">
        <f t="shared" si="2"/>
        <v/>
      </c>
      <c r="I32" s="22" t="str">
        <f t="shared" si="3"/>
        <v/>
      </c>
      <c r="J32" s="22" t="str">
        <f t="shared" si="4"/>
        <v/>
      </c>
      <c r="K32" s="14"/>
    </row>
    <row r="33" spans="2:11" ht="43.5">
      <c r="B33" s="22" t="s">
        <v>687</v>
      </c>
      <c r="C33" s="23" t="str">
        <f t="shared" si="5"/>
        <v>Not Applicable</v>
      </c>
      <c r="D33" s="22" t="s">
        <v>580</v>
      </c>
      <c r="E33" s="22" t="s">
        <v>54</v>
      </c>
      <c r="F33" s="22" t="str">
        <f t="shared" si="0"/>
        <v>NA</v>
      </c>
      <c r="G33" s="22" t="str">
        <f t="shared" si="1"/>
        <v/>
      </c>
      <c r="H33" s="22" t="str">
        <f t="shared" si="2"/>
        <v/>
      </c>
      <c r="I33" s="22" t="str">
        <f t="shared" si="3"/>
        <v/>
      </c>
      <c r="J33" s="22" t="str">
        <f t="shared" si="4"/>
        <v/>
      </c>
      <c r="K33" s="14"/>
    </row>
    <row r="34" spans="2:11" ht="43.5">
      <c r="B34" s="22" t="s">
        <v>688</v>
      </c>
      <c r="C34" s="23" t="str">
        <f t="shared" si="5"/>
        <v>Not Applicable</v>
      </c>
      <c r="D34" s="22" t="s">
        <v>580</v>
      </c>
      <c r="E34" s="22" t="s">
        <v>246</v>
      </c>
      <c r="F34" s="22" t="str">
        <f t="shared" si="0"/>
        <v>NA</v>
      </c>
      <c r="G34" s="22" t="str">
        <f t="shared" si="1"/>
        <v/>
      </c>
      <c r="H34" s="22" t="str">
        <f t="shared" si="2"/>
        <v/>
      </c>
      <c r="I34" s="22" t="str">
        <f t="shared" si="3"/>
        <v/>
      </c>
      <c r="J34" s="22" t="str">
        <f t="shared" si="4"/>
        <v/>
      </c>
      <c r="K34" s="14"/>
    </row>
    <row r="35" spans="2:11" ht="29">
      <c r="B35" s="22" t="s">
        <v>689</v>
      </c>
      <c r="C35" s="23" t="str">
        <f t="shared" si="5"/>
        <v>Not Applicable</v>
      </c>
      <c r="D35" s="22" t="s">
        <v>579</v>
      </c>
      <c r="E35" s="22" t="s">
        <v>33</v>
      </c>
      <c r="F35" s="22" t="str">
        <f t="shared" si="0"/>
        <v>NA</v>
      </c>
      <c r="G35" s="22" t="str">
        <f t="shared" si="1"/>
        <v/>
      </c>
      <c r="H35" s="22" t="str">
        <f t="shared" si="2"/>
        <v/>
      </c>
      <c r="I35" s="22" t="str">
        <f t="shared" si="3"/>
        <v/>
      </c>
      <c r="J35" s="22" t="str">
        <f t="shared" si="4"/>
        <v/>
      </c>
      <c r="K35" s="14"/>
    </row>
    <row r="36" spans="2:11" ht="43.5">
      <c r="B36" s="22" t="s">
        <v>690</v>
      </c>
      <c r="C36" s="23" t="str">
        <f t="shared" si="5"/>
        <v>Not Applicable</v>
      </c>
      <c r="D36" s="22" t="s">
        <v>580</v>
      </c>
      <c r="E36" s="22" t="s">
        <v>34</v>
      </c>
      <c r="F36" s="22" t="str">
        <f t="shared" si="0"/>
        <v>NA</v>
      </c>
      <c r="G36" s="22" t="str">
        <f t="shared" si="1"/>
        <v/>
      </c>
      <c r="H36" s="22" t="str">
        <f t="shared" si="2"/>
        <v/>
      </c>
      <c r="I36" s="22" t="str">
        <f t="shared" si="3"/>
        <v/>
      </c>
      <c r="J36" s="22" t="str">
        <f t="shared" si="4"/>
        <v/>
      </c>
      <c r="K36" s="14"/>
    </row>
    <row r="37" spans="2:11" ht="29">
      <c r="B37" s="22" t="s">
        <v>691</v>
      </c>
      <c r="C37" s="23" t="str">
        <f t="shared" si="5"/>
        <v>Not Applicable</v>
      </c>
      <c r="D37" s="22" t="s">
        <v>579</v>
      </c>
      <c r="E37" s="22" t="s">
        <v>39</v>
      </c>
      <c r="F37" s="22" t="str">
        <f t="shared" si="0"/>
        <v>NA</v>
      </c>
      <c r="G37" s="22" t="str">
        <f t="shared" si="1"/>
        <v/>
      </c>
      <c r="H37" s="22" t="str">
        <f t="shared" si="2"/>
        <v/>
      </c>
      <c r="I37" s="22" t="str">
        <f t="shared" si="3"/>
        <v/>
      </c>
      <c r="J37" s="22" t="str">
        <f t="shared" si="4"/>
        <v/>
      </c>
      <c r="K37" s="14"/>
    </row>
    <row r="38" spans="2:11" ht="29">
      <c r="B38" s="22" t="s">
        <v>692</v>
      </c>
      <c r="C38" s="23" t="str">
        <f t="shared" si="5"/>
        <v>Not Applicable</v>
      </c>
      <c r="D38" s="22" t="s">
        <v>578</v>
      </c>
      <c r="E38" s="22" t="s">
        <v>45</v>
      </c>
      <c r="F38" s="22" t="str">
        <f t="shared" si="0"/>
        <v>NA</v>
      </c>
      <c r="G38" s="22" t="str">
        <f t="shared" si="1"/>
        <v/>
      </c>
      <c r="H38" s="22" t="str">
        <f t="shared" si="2"/>
        <v/>
      </c>
      <c r="I38" s="22" t="str">
        <f t="shared" si="3"/>
        <v/>
      </c>
      <c r="J38" s="22" t="str">
        <f t="shared" si="4"/>
        <v/>
      </c>
      <c r="K38" s="14"/>
    </row>
    <row r="39" spans="2:11" ht="43.5">
      <c r="B39" s="22" t="s">
        <v>693</v>
      </c>
      <c r="C39" s="23" t="str">
        <f t="shared" si="5"/>
        <v>Not Applicable</v>
      </c>
      <c r="D39" s="22" t="s">
        <v>580</v>
      </c>
      <c r="E39" s="22" t="s">
        <v>45</v>
      </c>
      <c r="F39" s="22" t="str">
        <f t="shared" si="0"/>
        <v>NA</v>
      </c>
      <c r="G39" s="22" t="str">
        <f t="shared" si="1"/>
        <v/>
      </c>
      <c r="H39" s="22" t="str">
        <f t="shared" si="2"/>
        <v/>
      </c>
      <c r="I39" s="22" t="str">
        <f t="shared" si="3"/>
        <v/>
      </c>
      <c r="J39" s="22" t="str">
        <f t="shared" si="4"/>
        <v/>
      </c>
      <c r="K39" s="14"/>
    </row>
  </sheetData>
  <conditionalFormatting sqref="C1:C1048576">
    <cfRule type="containsText" dxfId="79" priority="11" operator="containsText" text="Not Applicable">
      <formula>NOT(ISERROR(SEARCH("Not Applicable",C1)))</formula>
    </cfRule>
    <cfRule type="containsText" dxfId="78" priority="12" operator="containsText" text="Applicable">
      <formula>NOT(ISERROR(SEARCH("Applicable",C1)))</formula>
    </cfRule>
  </conditionalFormatting>
  <conditionalFormatting sqref="F4:F50">
    <cfRule type="containsText" dxfId="77" priority="7" operator="containsText" text="Not">
      <formula>NOT(ISERROR(SEARCH("Not",F4)))</formula>
    </cfRule>
    <cfRule type="containsText" dxfId="76" priority="8" operator="containsText" text="Comply">
      <formula>NOT(ISERROR(SEARCH("Comply",F4)))</formula>
    </cfRule>
  </conditionalFormatting>
  <conditionalFormatting sqref="G4:G39">
    <cfRule type="containsText" dxfId="75" priority="4" operator="containsText" text="Gaps to be stated here">
      <formula>NOT(ISERROR(SEARCH("Gaps to be stated here",G4)))</formula>
    </cfRule>
  </conditionalFormatting>
  <conditionalFormatting sqref="H4:H39">
    <cfRule type="containsText" dxfId="74" priority="5" operator="containsText" text="action to be stated here">
      <formula>NOT(ISERROR(SEARCH("action to be stated here",H4)))</formula>
    </cfRule>
  </conditionalFormatting>
  <conditionalFormatting sqref="I4:I39">
    <cfRule type="containsText" dxfId="73" priority="3" operator="containsText" text="Name of PIC to be stated here">
      <formula>NOT(ISERROR(SEARCH("Name of PIC to be stated here",I4)))</formula>
    </cfRule>
  </conditionalFormatting>
  <conditionalFormatting sqref="J4:J39">
    <cfRule type="containsText" dxfId="72" priority="2" operator="containsText" text="action date to be stated here">
      <formula>NOT(ISERROR(SEARCH("action date to be stated here",J4)))</formula>
    </cfRule>
  </conditionalFormatting>
  <conditionalFormatting sqref="K3">
    <cfRule type="expression" dxfId="71" priority="1">
      <formula>$K$2&gt;0</formula>
    </cfRule>
  </conditionalFormatting>
  <conditionalFormatting sqref="K4:K39">
    <cfRule type="expression" dxfId="7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58659D07-0538-47A6-9725-C4A76E6CAAB2}">
          <x14:formula1>
            <xm:f>'back-data'!$B$4:$B$6</xm:f>
          </x14:formula1>
          <xm:sqref>D4:D39</xm:sqref>
        </x14:dataValidation>
        <x14:dataValidation type="list" allowBlank="1" showInputMessage="1" showErrorMessage="1" xr:uid="{D4DED10A-0891-4F37-9E1A-009EB368FAD4}">
          <x14:formula1>
            <xm:f>'back-data'!$B$13:$B$15</xm:f>
          </x14:formula1>
          <xm:sqref>F4:F39</xm:sqref>
        </x14:dataValidation>
        <x14:dataValidation type="list" allowBlank="1" showInputMessage="1" showErrorMessage="1" xr:uid="{82C0931C-26FD-4E79-BAA5-1741F17630F2}">
          <x14:formula1>
            <xm:f>Action_Tracker_Data!$U$4:$U$13</xm:f>
          </x14:formula1>
          <xm:sqref>K4:K39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9950-895D-47BF-85FC-82C4A99A6404}">
  <sheetPr>
    <tabColor rgb="FF006E3C"/>
  </sheetPr>
  <dimension ref="B1:K29"/>
  <sheetViews>
    <sheetView showGridLines="0" showRowColHeaders="0" topLeftCell="D23" zoomScaleNormal="100" workbookViewId="0">
      <selection activeCell="F29" sqref="F29"/>
    </sheetView>
  </sheetViews>
  <sheetFormatPr defaultRowHeight="14.5"/>
  <cols>
    <col min="1" max="1" width="27.81640625" style="8" customWidth="1"/>
    <col min="2" max="2" width="48.81640625" style="8" customWidth="1"/>
    <col min="3" max="4" width="22" style="8" customWidth="1"/>
    <col min="5" max="5" width="25.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753</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32" t="s">
        <v>754</v>
      </c>
      <c r="C4" s="29" t="str">
        <f>IF(OR(Home!B250=TRUE,Home!B251=TRUE,Home!B252=TRUE,Home!B253=TRUE,Home!B254=TRUE,Home!B255=TRUE,Home!B256=TRUE,Home!B257=TRUE),"Applicable","Not Applicable")</f>
        <v>Not Applicable</v>
      </c>
      <c r="D4" s="32" t="s">
        <v>578</v>
      </c>
      <c r="E4" s="32" t="s">
        <v>51</v>
      </c>
      <c r="F4" s="22" t="str">
        <f t="shared" ref="F4:F29"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43.5">
      <c r="B5" s="22" t="s">
        <v>755</v>
      </c>
      <c r="C5" s="23" t="str">
        <f>C4</f>
        <v>Not Applicable</v>
      </c>
      <c r="D5" s="22" t="s">
        <v>580</v>
      </c>
      <c r="E5" s="22" t="s">
        <v>780</v>
      </c>
      <c r="F5" s="22" t="str">
        <f t="shared" si="0"/>
        <v>NA</v>
      </c>
      <c r="G5" s="22" t="str">
        <f t="shared" ref="G5:G29" si="1">IF(F5="not comply","Gaps to be stated here","")</f>
        <v/>
      </c>
      <c r="H5" s="22" t="str">
        <f t="shared" ref="H5:H29" si="2">IF(F5="not comply","action to be stated here","")</f>
        <v/>
      </c>
      <c r="I5" s="22" t="str">
        <f t="shared" ref="I5:I29" si="3">IF(F5="not comply","Name of PIC to be stated here","")</f>
        <v/>
      </c>
      <c r="J5" s="22" t="str">
        <f t="shared" ref="J5:J29" si="4">IF(F5="not comply","action date to be stated here","")</f>
        <v/>
      </c>
      <c r="K5" s="14"/>
    </row>
    <row r="6" spans="2:11">
      <c r="B6" s="22" t="s">
        <v>756</v>
      </c>
      <c r="C6" s="23" t="str">
        <f t="shared" ref="C6:C29" si="5">C5</f>
        <v>Not Applicable</v>
      </c>
      <c r="D6" s="22" t="s">
        <v>578</v>
      </c>
      <c r="E6" s="22" t="s">
        <v>40</v>
      </c>
      <c r="F6" s="22" t="str">
        <f t="shared" si="0"/>
        <v>NA</v>
      </c>
      <c r="G6" s="22" t="str">
        <f t="shared" si="1"/>
        <v/>
      </c>
      <c r="H6" s="22" t="str">
        <f t="shared" si="2"/>
        <v/>
      </c>
      <c r="I6" s="22" t="str">
        <f t="shared" si="3"/>
        <v/>
      </c>
      <c r="J6" s="22" t="str">
        <f t="shared" si="4"/>
        <v/>
      </c>
      <c r="K6" s="14"/>
    </row>
    <row r="7" spans="2:11" ht="43.5">
      <c r="B7" s="22" t="s">
        <v>757</v>
      </c>
      <c r="C7" s="23" t="str">
        <f t="shared" si="5"/>
        <v>Not Applicable</v>
      </c>
      <c r="D7" s="22" t="s">
        <v>580</v>
      </c>
      <c r="E7" s="22" t="s">
        <v>52</v>
      </c>
      <c r="F7" s="22" t="str">
        <f t="shared" si="0"/>
        <v>NA</v>
      </c>
      <c r="G7" s="22" t="str">
        <f t="shared" si="1"/>
        <v/>
      </c>
      <c r="H7" s="22" t="str">
        <f t="shared" si="2"/>
        <v/>
      </c>
      <c r="I7" s="22" t="str">
        <f t="shared" si="3"/>
        <v/>
      </c>
      <c r="J7" s="22" t="str">
        <f t="shared" si="4"/>
        <v/>
      </c>
      <c r="K7" s="14"/>
    </row>
    <row r="8" spans="2:11" ht="29">
      <c r="B8" s="22" t="s">
        <v>758</v>
      </c>
      <c r="C8" s="23" t="str">
        <f t="shared" si="5"/>
        <v>Not Applicable</v>
      </c>
      <c r="D8" s="22" t="s">
        <v>578</v>
      </c>
      <c r="E8" s="22" t="s">
        <v>31</v>
      </c>
      <c r="F8" s="22" t="str">
        <f t="shared" si="0"/>
        <v>NA</v>
      </c>
      <c r="G8" s="22" t="str">
        <f t="shared" si="1"/>
        <v/>
      </c>
      <c r="H8" s="22" t="str">
        <f t="shared" si="2"/>
        <v/>
      </c>
      <c r="I8" s="22" t="str">
        <f t="shared" si="3"/>
        <v/>
      </c>
      <c r="J8" s="22" t="str">
        <f t="shared" si="4"/>
        <v/>
      </c>
      <c r="K8" s="14"/>
    </row>
    <row r="9" spans="2:11" ht="29">
      <c r="B9" s="22" t="s">
        <v>759</v>
      </c>
      <c r="C9" s="23" t="str">
        <f t="shared" si="5"/>
        <v>Not Applicable</v>
      </c>
      <c r="D9" s="22" t="s">
        <v>578</v>
      </c>
      <c r="E9" s="22" t="s">
        <v>33</v>
      </c>
      <c r="F9" s="22" t="str">
        <f t="shared" si="0"/>
        <v>NA</v>
      </c>
      <c r="G9" s="22" t="str">
        <f t="shared" si="1"/>
        <v/>
      </c>
      <c r="H9" s="22" t="str">
        <f t="shared" si="2"/>
        <v/>
      </c>
      <c r="I9" s="22" t="str">
        <f t="shared" si="3"/>
        <v/>
      </c>
      <c r="J9" s="22" t="str">
        <f t="shared" si="4"/>
        <v/>
      </c>
      <c r="K9" s="14"/>
    </row>
    <row r="10" spans="2:11" ht="29">
      <c r="B10" s="22" t="s">
        <v>760</v>
      </c>
      <c r="C10" s="23" t="str">
        <f>C9</f>
        <v>Not Applicable</v>
      </c>
      <c r="D10" s="22" t="s">
        <v>578</v>
      </c>
      <c r="E10" s="22" t="s">
        <v>32</v>
      </c>
      <c r="F10" s="22" t="str">
        <f t="shared" si="0"/>
        <v>NA</v>
      </c>
      <c r="G10" s="22" t="str">
        <f t="shared" si="1"/>
        <v/>
      </c>
      <c r="H10" s="22" t="str">
        <f t="shared" si="2"/>
        <v/>
      </c>
      <c r="I10" s="22" t="str">
        <f t="shared" si="3"/>
        <v/>
      </c>
      <c r="J10" s="22" t="str">
        <f t="shared" si="4"/>
        <v/>
      </c>
      <c r="K10" s="14"/>
    </row>
    <row r="11" spans="2:11" ht="29">
      <c r="B11" s="22" t="s">
        <v>761</v>
      </c>
      <c r="C11" s="23" t="str">
        <f t="shared" si="5"/>
        <v>Not Applicable</v>
      </c>
      <c r="D11" s="22" t="s">
        <v>578</v>
      </c>
      <c r="E11" s="22" t="s">
        <v>38</v>
      </c>
      <c r="F11" s="22" t="str">
        <f t="shared" si="0"/>
        <v>NA</v>
      </c>
      <c r="G11" s="22" t="str">
        <f t="shared" si="1"/>
        <v/>
      </c>
      <c r="H11" s="22" t="str">
        <f t="shared" si="2"/>
        <v/>
      </c>
      <c r="I11" s="22" t="str">
        <f t="shared" si="3"/>
        <v/>
      </c>
      <c r="J11" s="22" t="str">
        <f t="shared" si="4"/>
        <v/>
      </c>
      <c r="K11" s="14"/>
    </row>
    <row r="12" spans="2:11" ht="43.5">
      <c r="B12" s="22" t="s">
        <v>762</v>
      </c>
      <c r="C12" s="23" t="str">
        <f t="shared" si="5"/>
        <v>Not Applicable</v>
      </c>
      <c r="D12" s="22" t="s">
        <v>580</v>
      </c>
      <c r="E12" s="22" t="s">
        <v>781</v>
      </c>
      <c r="F12" s="22" t="str">
        <f t="shared" si="0"/>
        <v>NA</v>
      </c>
      <c r="G12" s="22" t="str">
        <f t="shared" si="1"/>
        <v/>
      </c>
      <c r="H12" s="22" t="str">
        <f t="shared" si="2"/>
        <v/>
      </c>
      <c r="I12" s="22" t="str">
        <f t="shared" si="3"/>
        <v/>
      </c>
      <c r="J12" s="22" t="str">
        <f t="shared" si="4"/>
        <v/>
      </c>
      <c r="K12" s="14"/>
    </row>
    <row r="13" spans="2:11" ht="43.5">
      <c r="B13" s="22" t="s">
        <v>763</v>
      </c>
      <c r="C13" s="23" t="str">
        <f t="shared" si="5"/>
        <v>Not Applicable</v>
      </c>
      <c r="D13" s="22" t="s">
        <v>580</v>
      </c>
      <c r="E13" s="22" t="s">
        <v>37</v>
      </c>
      <c r="F13" s="22" t="str">
        <f t="shared" si="0"/>
        <v>NA</v>
      </c>
      <c r="G13" s="22" t="str">
        <f t="shared" si="1"/>
        <v/>
      </c>
      <c r="H13" s="22" t="str">
        <f t="shared" si="2"/>
        <v/>
      </c>
      <c r="I13" s="22" t="str">
        <f t="shared" si="3"/>
        <v/>
      </c>
      <c r="J13" s="22" t="str">
        <f t="shared" si="4"/>
        <v/>
      </c>
      <c r="K13" s="14"/>
    </row>
    <row r="14" spans="2:11" ht="58">
      <c r="B14" s="22" t="s">
        <v>764</v>
      </c>
      <c r="C14" s="23" t="str">
        <f t="shared" si="5"/>
        <v>Not Applicable</v>
      </c>
      <c r="D14" s="22" t="s">
        <v>580</v>
      </c>
      <c r="E14" s="22" t="s">
        <v>782</v>
      </c>
      <c r="F14" s="22" t="str">
        <f t="shared" si="0"/>
        <v>NA</v>
      </c>
      <c r="G14" s="22" t="str">
        <f t="shared" si="1"/>
        <v/>
      </c>
      <c r="H14" s="22" t="str">
        <f t="shared" si="2"/>
        <v/>
      </c>
      <c r="I14" s="22" t="str">
        <f t="shared" si="3"/>
        <v/>
      </c>
      <c r="J14" s="22" t="str">
        <f t="shared" si="4"/>
        <v/>
      </c>
      <c r="K14" s="14"/>
    </row>
    <row r="15" spans="2:11">
      <c r="B15" s="22" t="s">
        <v>765</v>
      </c>
      <c r="C15" s="23" t="str">
        <f t="shared" si="5"/>
        <v>Not Applicable</v>
      </c>
      <c r="D15" s="22" t="s">
        <v>578</v>
      </c>
      <c r="E15" s="22" t="s">
        <v>51</v>
      </c>
      <c r="F15" s="22" t="str">
        <f t="shared" si="0"/>
        <v>NA</v>
      </c>
      <c r="G15" s="22" t="str">
        <f t="shared" si="1"/>
        <v/>
      </c>
      <c r="H15" s="22" t="str">
        <f t="shared" si="2"/>
        <v/>
      </c>
      <c r="I15" s="22" t="str">
        <f t="shared" si="3"/>
        <v/>
      </c>
      <c r="J15" s="22" t="str">
        <f t="shared" si="4"/>
        <v/>
      </c>
      <c r="K15" s="14"/>
    </row>
    <row r="16" spans="2:11" ht="58">
      <c r="B16" s="22" t="s">
        <v>766</v>
      </c>
      <c r="C16" s="23" t="str">
        <f t="shared" si="5"/>
        <v>Not Applicable</v>
      </c>
      <c r="D16" s="22" t="s">
        <v>580</v>
      </c>
      <c r="E16" s="22" t="s">
        <v>783</v>
      </c>
      <c r="F16" s="22" t="str">
        <f t="shared" si="0"/>
        <v>NA</v>
      </c>
      <c r="G16" s="22" t="str">
        <f t="shared" si="1"/>
        <v/>
      </c>
      <c r="H16" s="22" t="str">
        <f t="shared" si="2"/>
        <v/>
      </c>
      <c r="I16" s="22" t="str">
        <f t="shared" si="3"/>
        <v/>
      </c>
      <c r="J16" s="22" t="str">
        <f t="shared" si="4"/>
        <v/>
      </c>
      <c r="K16" s="14"/>
    </row>
    <row r="17" spans="2:11" ht="43.5">
      <c r="B17" s="22" t="s">
        <v>767</v>
      </c>
      <c r="C17" s="23" t="str">
        <f t="shared" si="5"/>
        <v>Not Applicable</v>
      </c>
      <c r="D17" s="22" t="s">
        <v>580</v>
      </c>
      <c r="E17" s="22" t="s">
        <v>38</v>
      </c>
      <c r="F17" s="22" t="str">
        <f t="shared" si="0"/>
        <v>NA</v>
      </c>
      <c r="G17" s="22" t="str">
        <f t="shared" si="1"/>
        <v/>
      </c>
      <c r="H17" s="22" t="str">
        <f t="shared" si="2"/>
        <v/>
      </c>
      <c r="I17" s="22" t="str">
        <f t="shared" si="3"/>
        <v/>
      </c>
      <c r="J17" s="22" t="str">
        <f t="shared" si="4"/>
        <v/>
      </c>
      <c r="K17" s="14"/>
    </row>
    <row r="18" spans="2:11" ht="29">
      <c r="B18" s="22" t="s">
        <v>768</v>
      </c>
      <c r="C18" s="23" t="str">
        <f t="shared" si="5"/>
        <v>Not Applicable</v>
      </c>
      <c r="D18" s="22" t="s">
        <v>578</v>
      </c>
      <c r="E18" s="22" t="s">
        <v>44</v>
      </c>
      <c r="F18" s="22" t="str">
        <f t="shared" si="0"/>
        <v>NA</v>
      </c>
      <c r="G18" s="22" t="str">
        <f t="shared" si="1"/>
        <v/>
      </c>
      <c r="H18" s="22" t="str">
        <f t="shared" si="2"/>
        <v/>
      </c>
      <c r="I18" s="22" t="str">
        <f t="shared" si="3"/>
        <v/>
      </c>
      <c r="J18" s="22" t="str">
        <f t="shared" si="4"/>
        <v/>
      </c>
      <c r="K18" s="14"/>
    </row>
    <row r="19" spans="2:11" ht="29">
      <c r="B19" s="22" t="s">
        <v>769</v>
      </c>
      <c r="C19" s="23" t="str">
        <f t="shared" si="5"/>
        <v>Not Applicable</v>
      </c>
      <c r="D19" s="22" t="s">
        <v>578</v>
      </c>
      <c r="E19" s="22" t="s">
        <v>55</v>
      </c>
      <c r="F19" s="22" t="str">
        <f t="shared" si="0"/>
        <v>NA</v>
      </c>
      <c r="G19" s="22" t="str">
        <f t="shared" si="1"/>
        <v/>
      </c>
      <c r="H19" s="22" t="str">
        <f t="shared" si="2"/>
        <v/>
      </c>
      <c r="I19" s="22" t="str">
        <f t="shared" si="3"/>
        <v/>
      </c>
      <c r="J19" s="22" t="str">
        <f t="shared" si="4"/>
        <v/>
      </c>
      <c r="K19" s="14"/>
    </row>
    <row r="20" spans="2:11" ht="43.5">
      <c r="B20" s="22" t="s">
        <v>770</v>
      </c>
      <c r="C20" s="23" t="str">
        <f t="shared" si="5"/>
        <v>Not Applicable</v>
      </c>
      <c r="D20" s="22" t="s">
        <v>580</v>
      </c>
      <c r="E20" s="22" t="s">
        <v>30</v>
      </c>
      <c r="F20" s="22" t="str">
        <f t="shared" si="0"/>
        <v>NA</v>
      </c>
      <c r="G20" s="22" t="str">
        <f t="shared" si="1"/>
        <v/>
      </c>
      <c r="H20" s="22" t="str">
        <f t="shared" si="2"/>
        <v/>
      </c>
      <c r="I20" s="22" t="str">
        <f t="shared" si="3"/>
        <v/>
      </c>
      <c r="J20" s="22" t="str">
        <f t="shared" si="4"/>
        <v/>
      </c>
      <c r="K20" s="14"/>
    </row>
    <row r="21" spans="2:11" ht="43.5">
      <c r="B21" s="22" t="s">
        <v>771</v>
      </c>
      <c r="C21" s="23" t="str">
        <f t="shared" si="5"/>
        <v>Not Applicable</v>
      </c>
      <c r="D21" s="22" t="s">
        <v>580</v>
      </c>
      <c r="E21" s="22" t="s">
        <v>54</v>
      </c>
      <c r="F21" s="22" t="str">
        <f t="shared" si="0"/>
        <v>NA</v>
      </c>
      <c r="G21" s="22" t="str">
        <f t="shared" si="1"/>
        <v/>
      </c>
      <c r="H21" s="22" t="str">
        <f t="shared" si="2"/>
        <v/>
      </c>
      <c r="I21" s="22" t="str">
        <f t="shared" si="3"/>
        <v/>
      </c>
      <c r="J21" s="22" t="str">
        <f t="shared" si="4"/>
        <v/>
      </c>
      <c r="K21" s="14"/>
    </row>
    <row r="22" spans="2:11" ht="43.5">
      <c r="B22" s="22" t="s">
        <v>772</v>
      </c>
      <c r="C22" s="23" t="str">
        <f t="shared" si="5"/>
        <v>Not Applicable</v>
      </c>
      <c r="D22" s="22" t="s">
        <v>580</v>
      </c>
      <c r="E22" s="22" t="s">
        <v>30</v>
      </c>
      <c r="F22" s="22" t="str">
        <f t="shared" si="0"/>
        <v>NA</v>
      </c>
      <c r="G22" s="22" t="str">
        <f t="shared" si="1"/>
        <v/>
      </c>
      <c r="H22" s="22" t="str">
        <f t="shared" si="2"/>
        <v/>
      </c>
      <c r="I22" s="22" t="str">
        <f t="shared" si="3"/>
        <v/>
      </c>
      <c r="J22" s="22" t="str">
        <f t="shared" si="4"/>
        <v/>
      </c>
      <c r="K22" s="14"/>
    </row>
    <row r="23" spans="2:11" ht="29">
      <c r="B23" s="22" t="s">
        <v>773</v>
      </c>
      <c r="C23" s="23" t="str">
        <f t="shared" si="5"/>
        <v>Not Applicable</v>
      </c>
      <c r="D23" s="22" t="s">
        <v>578</v>
      </c>
      <c r="E23" s="22" t="s">
        <v>31</v>
      </c>
      <c r="F23" s="22" t="str">
        <f t="shared" si="0"/>
        <v>NA</v>
      </c>
      <c r="G23" s="22" t="str">
        <f t="shared" si="1"/>
        <v/>
      </c>
      <c r="H23" s="22" t="str">
        <f t="shared" si="2"/>
        <v/>
      </c>
      <c r="I23" s="22" t="str">
        <f t="shared" si="3"/>
        <v/>
      </c>
      <c r="J23" s="22" t="str">
        <f t="shared" si="4"/>
        <v/>
      </c>
      <c r="K23" s="14"/>
    </row>
    <row r="24" spans="2:11" ht="43.5">
      <c r="B24" s="22" t="s">
        <v>774</v>
      </c>
      <c r="C24" s="23" t="str">
        <f t="shared" si="5"/>
        <v>Not Applicable</v>
      </c>
      <c r="D24" s="22" t="s">
        <v>580</v>
      </c>
      <c r="E24" s="22" t="s">
        <v>32</v>
      </c>
      <c r="F24" s="22" t="str">
        <f t="shared" si="0"/>
        <v>NA</v>
      </c>
      <c r="G24" s="22" t="str">
        <f t="shared" si="1"/>
        <v/>
      </c>
      <c r="H24" s="22" t="str">
        <f t="shared" si="2"/>
        <v/>
      </c>
      <c r="I24" s="22" t="str">
        <f t="shared" si="3"/>
        <v/>
      </c>
      <c r="J24" s="22" t="str">
        <f t="shared" si="4"/>
        <v/>
      </c>
      <c r="K24" s="14"/>
    </row>
    <row r="25" spans="2:11" ht="43.5">
      <c r="B25" s="22" t="s">
        <v>775</v>
      </c>
      <c r="C25" s="23" t="str">
        <f t="shared" si="5"/>
        <v>Not Applicable</v>
      </c>
      <c r="D25" s="22" t="s">
        <v>580</v>
      </c>
      <c r="E25" s="22" t="s">
        <v>784</v>
      </c>
      <c r="F25" s="22" t="str">
        <f t="shared" si="0"/>
        <v>NA</v>
      </c>
      <c r="G25" s="22" t="str">
        <f t="shared" si="1"/>
        <v/>
      </c>
      <c r="H25" s="22" t="str">
        <f t="shared" si="2"/>
        <v/>
      </c>
      <c r="I25" s="22" t="str">
        <f t="shared" si="3"/>
        <v/>
      </c>
      <c r="J25" s="22" t="str">
        <f t="shared" si="4"/>
        <v/>
      </c>
      <c r="K25" s="14"/>
    </row>
    <row r="26" spans="2:11" ht="29">
      <c r="B26" s="22" t="s">
        <v>776</v>
      </c>
      <c r="C26" s="23" t="str">
        <f t="shared" si="5"/>
        <v>Not Applicable</v>
      </c>
      <c r="D26" s="22" t="s">
        <v>578</v>
      </c>
      <c r="E26" s="22" t="s">
        <v>55</v>
      </c>
      <c r="F26" s="22" t="str">
        <f t="shared" si="0"/>
        <v>NA</v>
      </c>
      <c r="G26" s="22" t="str">
        <f t="shared" si="1"/>
        <v/>
      </c>
      <c r="H26" s="22" t="str">
        <f t="shared" si="2"/>
        <v/>
      </c>
      <c r="I26" s="22" t="str">
        <f t="shared" si="3"/>
        <v/>
      </c>
      <c r="J26" s="22" t="str">
        <f t="shared" si="4"/>
        <v/>
      </c>
      <c r="K26" s="14"/>
    </row>
    <row r="27" spans="2:11" ht="43.5">
      <c r="B27" s="22" t="s">
        <v>777</v>
      </c>
      <c r="C27" s="23" t="str">
        <f t="shared" si="5"/>
        <v>Not Applicable</v>
      </c>
      <c r="D27" s="22" t="s">
        <v>580</v>
      </c>
      <c r="E27" s="22" t="s">
        <v>785</v>
      </c>
      <c r="F27" s="22" t="str">
        <f t="shared" si="0"/>
        <v>NA</v>
      </c>
      <c r="G27" s="22" t="str">
        <f t="shared" si="1"/>
        <v/>
      </c>
      <c r="H27" s="22" t="str">
        <f t="shared" si="2"/>
        <v/>
      </c>
      <c r="I27" s="22" t="str">
        <f t="shared" si="3"/>
        <v/>
      </c>
      <c r="J27" s="22" t="str">
        <f t="shared" si="4"/>
        <v/>
      </c>
      <c r="K27" s="14"/>
    </row>
    <row r="28" spans="2:11" ht="43.5">
      <c r="B28" s="22" t="s">
        <v>778</v>
      </c>
      <c r="C28" s="23" t="str">
        <f t="shared" si="5"/>
        <v>Not Applicable</v>
      </c>
      <c r="D28" s="22" t="s">
        <v>580</v>
      </c>
      <c r="E28" s="22" t="s">
        <v>786</v>
      </c>
      <c r="F28" s="22" t="str">
        <f t="shared" si="0"/>
        <v>NA</v>
      </c>
      <c r="G28" s="22" t="str">
        <f t="shared" si="1"/>
        <v/>
      </c>
      <c r="H28" s="22" t="str">
        <f t="shared" si="2"/>
        <v/>
      </c>
      <c r="I28" s="22" t="str">
        <f t="shared" si="3"/>
        <v/>
      </c>
      <c r="J28" s="22" t="str">
        <f t="shared" si="4"/>
        <v/>
      </c>
      <c r="K28" s="14"/>
    </row>
    <row r="29" spans="2:11" ht="43.5">
      <c r="B29" s="22" t="s">
        <v>779</v>
      </c>
      <c r="C29" s="23" t="str">
        <f t="shared" si="5"/>
        <v>Not Applicable</v>
      </c>
      <c r="D29" s="22" t="s">
        <v>580</v>
      </c>
      <c r="E29" s="22" t="s">
        <v>43</v>
      </c>
      <c r="F29" s="22" t="str">
        <f t="shared" si="0"/>
        <v>NA</v>
      </c>
      <c r="G29" s="22" t="str">
        <f t="shared" si="1"/>
        <v/>
      </c>
      <c r="H29" s="22" t="str">
        <f t="shared" si="2"/>
        <v/>
      </c>
      <c r="I29" s="22" t="str">
        <f t="shared" si="3"/>
        <v/>
      </c>
      <c r="J29" s="22" t="str">
        <f t="shared" si="4"/>
        <v/>
      </c>
      <c r="K29" s="14"/>
    </row>
  </sheetData>
  <conditionalFormatting sqref="C1:C1048576">
    <cfRule type="containsText" dxfId="69" priority="11" operator="containsText" text="Not Applicable">
      <formula>NOT(ISERROR(SEARCH("Not Applicable",C1)))</formula>
    </cfRule>
    <cfRule type="containsText" dxfId="68" priority="12" operator="containsText" text="Applicable">
      <formula>NOT(ISERROR(SEARCH("Applicable",C1)))</formula>
    </cfRule>
  </conditionalFormatting>
  <conditionalFormatting sqref="F4:F50">
    <cfRule type="containsText" dxfId="67" priority="7" operator="containsText" text="Not">
      <formula>NOT(ISERROR(SEARCH("Not",F4)))</formula>
    </cfRule>
    <cfRule type="containsText" dxfId="66" priority="8" operator="containsText" text="Comply">
      <formula>NOT(ISERROR(SEARCH("Comply",F4)))</formula>
    </cfRule>
  </conditionalFormatting>
  <conditionalFormatting sqref="G4:G29">
    <cfRule type="containsText" dxfId="65" priority="4" operator="containsText" text="Gaps to be stated here">
      <formula>NOT(ISERROR(SEARCH("Gaps to be stated here",G4)))</formula>
    </cfRule>
  </conditionalFormatting>
  <conditionalFormatting sqref="H4:H29">
    <cfRule type="containsText" dxfId="64" priority="5" operator="containsText" text="action to be stated here">
      <formula>NOT(ISERROR(SEARCH("action to be stated here",H4)))</formula>
    </cfRule>
  </conditionalFormatting>
  <conditionalFormatting sqref="I4:I29">
    <cfRule type="containsText" dxfId="63" priority="3" operator="containsText" text="Name of PIC to be stated here">
      <formula>NOT(ISERROR(SEARCH("Name of PIC to be stated here",I4)))</formula>
    </cfRule>
  </conditionalFormatting>
  <conditionalFormatting sqref="J4:J29">
    <cfRule type="containsText" dxfId="62" priority="2" operator="containsText" text="action date to be stated here">
      <formula>NOT(ISERROR(SEARCH("action date to be stated here",J4)))</formula>
    </cfRule>
  </conditionalFormatting>
  <conditionalFormatting sqref="K3">
    <cfRule type="expression" dxfId="61" priority="1">
      <formula>$K$2&gt;0</formula>
    </cfRule>
  </conditionalFormatting>
  <conditionalFormatting sqref="K4:K29">
    <cfRule type="expression" dxfId="6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F4B71A59-2587-41FE-A2DE-FAB49E925723}">
          <x14:formula1>
            <xm:f>'back-data'!$B$4:$B$6</xm:f>
          </x14:formula1>
          <xm:sqref>D4:D29</xm:sqref>
        </x14:dataValidation>
        <x14:dataValidation type="list" allowBlank="1" showInputMessage="1" showErrorMessage="1" xr:uid="{3D200772-A72E-46A3-975B-88E8A204D49E}">
          <x14:formula1>
            <xm:f>'back-data'!$B$13:$B$15</xm:f>
          </x14:formula1>
          <xm:sqref>F4:F29</xm:sqref>
        </x14:dataValidation>
        <x14:dataValidation type="list" allowBlank="1" showInputMessage="1" showErrorMessage="1" xr:uid="{CAED3BA3-E0C4-4D07-A5A5-BD5043DC7238}">
          <x14:formula1>
            <xm:f>Action_Tracker_Data!$V$4:$V$13</xm:f>
          </x14:formula1>
          <xm:sqref>K4:K29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30069-88E9-4F6A-A0A3-75B2B6D42F02}">
  <sheetPr>
    <tabColor rgb="FF006E3C"/>
  </sheetPr>
  <dimension ref="B1:K20"/>
  <sheetViews>
    <sheetView showGridLines="0" showRowColHeaders="0" topLeftCell="D16" workbookViewId="0">
      <selection activeCell="K26" sqref="K26"/>
    </sheetView>
  </sheetViews>
  <sheetFormatPr defaultRowHeight="14.5"/>
  <cols>
    <col min="1" max="1" width="27.81640625" style="8" customWidth="1"/>
    <col min="2" max="2" width="37.08984375" style="8" customWidth="1"/>
    <col min="3" max="3" width="14.1796875" style="8" customWidth="1"/>
    <col min="4" max="5" width="27"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1296</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58.5" thickTop="1">
      <c r="B4" s="32" t="s">
        <v>343</v>
      </c>
      <c r="C4" s="29" t="str">
        <f>IF(OR(Home!B185=TRUE,Home!B271=TRUE,Home!B270=TRUE),"Applicable","Not Applicable")</f>
        <v>Not Applicable</v>
      </c>
      <c r="D4" s="32" t="s">
        <v>580</v>
      </c>
      <c r="E4" s="32" t="s">
        <v>794</v>
      </c>
      <c r="F4" s="22" t="str">
        <f t="shared" ref="F4:F20"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29">
      <c r="B5" s="22" t="s">
        <v>344</v>
      </c>
      <c r="C5" s="23" t="str">
        <f>IF(OR(Home!B185=TRUE,Home!B271=TRUE,Home!B270=TRUE),"Applicable","Not Applicable")</f>
        <v>Not Applicable</v>
      </c>
      <c r="D5" s="22" t="s">
        <v>578</v>
      </c>
      <c r="E5" s="22" t="s">
        <v>31</v>
      </c>
      <c r="F5" s="22" t="str">
        <f t="shared" si="0"/>
        <v>NA</v>
      </c>
      <c r="G5" s="22" t="str">
        <f t="shared" ref="G5:G20" si="1">IF(F5="not comply","Gaps to be stated here","")</f>
        <v/>
      </c>
      <c r="H5" s="22" t="str">
        <f t="shared" ref="H5:H20" si="2">IF(F5="not comply","action to be stated here","")</f>
        <v/>
      </c>
      <c r="I5" s="22" t="str">
        <f t="shared" ref="I5:I20" si="3">IF(F5="not comply","Name of PIC to be stated here","")</f>
        <v/>
      </c>
      <c r="J5" s="22" t="str">
        <f t="shared" ref="J5:J20" si="4">IF(F5="not comply","action date to be stated here","")</f>
        <v/>
      </c>
      <c r="K5" s="14"/>
    </row>
    <row r="6" spans="2:11" ht="58">
      <c r="B6" s="22" t="s">
        <v>345</v>
      </c>
      <c r="C6" s="23" t="str">
        <f>C5</f>
        <v>Not Applicable</v>
      </c>
      <c r="D6" s="22" t="s">
        <v>580</v>
      </c>
      <c r="E6" s="22" t="s">
        <v>795</v>
      </c>
      <c r="F6" s="22" t="str">
        <f t="shared" si="0"/>
        <v>NA</v>
      </c>
      <c r="G6" s="22" t="str">
        <f t="shared" si="1"/>
        <v/>
      </c>
      <c r="H6" s="22" t="str">
        <f t="shared" si="2"/>
        <v/>
      </c>
      <c r="I6" s="22" t="str">
        <f t="shared" si="3"/>
        <v/>
      </c>
      <c r="J6" s="22" t="str">
        <f t="shared" si="4"/>
        <v/>
      </c>
      <c r="K6" s="14"/>
    </row>
    <row r="7" spans="2:11" ht="29">
      <c r="B7" s="22" t="s">
        <v>346</v>
      </c>
      <c r="C7" s="23" t="str">
        <f t="shared" ref="C7:C20" si="5">C6</f>
        <v>Not Applicable</v>
      </c>
      <c r="D7" s="22" t="s">
        <v>580</v>
      </c>
      <c r="E7" s="22" t="s">
        <v>39</v>
      </c>
      <c r="F7" s="22" t="str">
        <f t="shared" si="0"/>
        <v>NA</v>
      </c>
      <c r="G7" s="22" t="str">
        <f t="shared" si="1"/>
        <v/>
      </c>
      <c r="H7" s="22" t="str">
        <f t="shared" si="2"/>
        <v/>
      </c>
      <c r="I7" s="22" t="str">
        <f t="shared" si="3"/>
        <v/>
      </c>
      <c r="J7" s="22" t="str">
        <f t="shared" si="4"/>
        <v/>
      </c>
      <c r="K7" s="14"/>
    </row>
    <row r="8" spans="2:11" ht="58">
      <c r="B8" s="22" t="s">
        <v>347</v>
      </c>
      <c r="C8" s="23" t="str">
        <f t="shared" si="5"/>
        <v>Not Applicable</v>
      </c>
      <c r="D8" s="22" t="s">
        <v>580</v>
      </c>
      <c r="E8" s="22" t="s">
        <v>796</v>
      </c>
      <c r="F8" s="22" t="str">
        <f t="shared" si="0"/>
        <v>NA</v>
      </c>
      <c r="G8" s="22" t="str">
        <f t="shared" si="1"/>
        <v/>
      </c>
      <c r="H8" s="22" t="str">
        <f t="shared" si="2"/>
        <v/>
      </c>
      <c r="I8" s="22" t="str">
        <f t="shared" si="3"/>
        <v/>
      </c>
      <c r="J8" s="22" t="str">
        <f t="shared" si="4"/>
        <v/>
      </c>
      <c r="K8" s="14"/>
    </row>
    <row r="9" spans="2:11" ht="29">
      <c r="B9" s="22" t="s">
        <v>348</v>
      </c>
      <c r="C9" s="23" t="str">
        <f t="shared" si="5"/>
        <v>Not Applicable</v>
      </c>
      <c r="D9" s="22" t="s">
        <v>578</v>
      </c>
      <c r="E9" s="22" t="s">
        <v>32</v>
      </c>
      <c r="F9" s="22" t="str">
        <f t="shared" si="0"/>
        <v>NA</v>
      </c>
      <c r="G9" s="22" t="str">
        <f t="shared" si="1"/>
        <v/>
      </c>
      <c r="H9" s="22" t="str">
        <f t="shared" si="2"/>
        <v/>
      </c>
      <c r="I9" s="22" t="str">
        <f t="shared" si="3"/>
        <v/>
      </c>
      <c r="J9" s="22" t="str">
        <f t="shared" si="4"/>
        <v/>
      </c>
      <c r="K9" s="14"/>
    </row>
    <row r="10" spans="2:11" ht="43.5">
      <c r="B10" s="22" t="s">
        <v>349</v>
      </c>
      <c r="C10" s="23" t="str">
        <f t="shared" si="5"/>
        <v>Not Applicable</v>
      </c>
      <c r="D10" s="22" t="s">
        <v>580</v>
      </c>
      <c r="E10" s="22" t="s">
        <v>797</v>
      </c>
      <c r="F10" s="22" t="str">
        <f t="shared" si="0"/>
        <v>NA</v>
      </c>
      <c r="G10" s="22" t="str">
        <f t="shared" si="1"/>
        <v/>
      </c>
      <c r="H10" s="22" t="str">
        <f t="shared" si="2"/>
        <v/>
      </c>
      <c r="I10" s="22" t="str">
        <f t="shared" si="3"/>
        <v/>
      </c>
      <c r="J10" s="22" t="str">
        <f t="shared" si="4"/>
        <v/>
      </c>
      <c r="K10" s="14"/>
    </row>
    <row r="11" spans="2:11" ht="58">
      <c r="B11" s="22" t="s">
        <v>350</v>
      </c>
      <c r="C11" s="23" t="str">
        <f t="shared" si="5"/>
        <v>Not Applicable</v>
      </c>
      <c r="D11" s="22" t="s">
        <v>580</v>
      </c>
      <c r="E11" s="22" t="s">
        <v>798</v>
      </c>
      <c r="F11" s="22" t="str">
        <f t="shared" si="0"/>
        <v>NA</v>
      </c>
      <c r="G11" s="22" t="str">
        <f t="shared" si="1"/>
        <v/>
      </c>
      <c r="H11" s="22" t="str">
        <f t="shared" si="2"/>
        <v/>
      </c>
      <c r="I11" s="22" t="str">
        <f t="shared" si="3"/>
        <v/>
      </c>
      <c r="J11" s="22" t="str">
        <f t="shared" si="4"/>
        <v/>
      </c>
      <c r="K11" s="14"/>
    </row>
    <row r="12" spans="2:11" ht="29">
      <c r="B12" s="22" t="s">
        <v>351</v>
      </c>
      <c r="C12" s="23" t="str">
        <f t="shared" si="5"/>
        <v>Not Applicable</v>
      </c>
      <c r="D12" s="22" t="s">
        <v>578</v>
      </c>
      <c r="E12" s="22" t="s">
        <v>32</v>
      </c>
      <c r="F12" s="22" t="str">
        <f t="shared" si="0"/>
        <v>NA</v>
      </c>
      <c r="G12" s="22" t="str">
        <f t="shared" si="1"/>
        <v/>
      </c>
      <c r="H12" s="22" t="str">
        <f t="shared" si="2"/>
        <v/>
      </c>
      <c r="I12" s="22" t="str">
        <f t="shared" si="3"/>
        <v/>
      </c>
      <c r="J12" s="22" t="str">
        <f t="shared" si="4"/>
        <v/>
      </c>
      <c r="K12" s="14"/>
    </row>
    <row r="13" spans="2:11" ht="29">
      <c r="B13" s="22" t="s">
        <v>352</v>
      </c>
      <c r="C13" s="23" t="str">
        <f t="shared" si="5"/>
        <v>Not Applicable</v>
      </c>
      <c r="D13" s="22" t="s">
        <v>580</v>
      </c>
      <c r="E13" s="22" t="s">
        <v>30</v>
      </c>
      <c r="F13" s="22" t="str">
        <f t="shared" si="0"/>
        <v>NA</v>
      </c>
      <c r="G13" s="22" t="str">
        <f t="shared" si="1"/>
        <v/>
      </c>
      <c r="H13" s="22" t="str">
        <f t="shared" si="2"/>
        <v/>
      </c>
      <c r="I13" s="22" t="str">
        <f t="shared" si="3"/>
        <v/>
      </c>
      <c r="J13" s="22" t="str">
        <f t="shared" si="4"/>
        <v/>
      </c>
      <c r="K13" s="14"/>
    </row>
    <row r="14" spans="2:11" ht="29">
      <c r="B14" s="22" t="s">
        <v>353</v>
      </c>
      <c r="C14" s="23" t="str">
        <f t="shared" si="5"/>
        <v>Not Applicable</v>
      </c>
      <c r="D14" s="22" t="s">
        <v>580</v>
      </c>
      <c r="E14" s="22" t="s">
        <v>54</v>
      </c>
      <c r="F14" s="22" t="str">
        <f t="shared" si="0"/>
        <v>NA</v>
      </c>
      <c r="G14" s="22" t="str">
        <f t="shared" si="1"/>
        <v/>
      </c>
      <c r="H14" s="22" t="str">
        <f t="shared" si="2"/>
        <v/>
      </c>
      <c r="I14" s="22" t="str">
        <f t="shared" si="3"/>
        <v/>
      </c>
      <c r="J14" s="22" t="str">
        <f t="shared" si="4"/>
        <v/>
      </c>
      <c r="K14" s="14"/>
    </row>
    <row r="15" spans="2:11" ht="58">
      <c r="B15" s="22" t="s">
        <v>354</v>
      </c>
      <c r="C15" s="23" t="str">
        <f t="shared" si="5"/>
        <v>Not Applicable</v>
      </c>
      <c r="D15" s="22" t="s">
        <v>580</v>
      </c>
      <c r="E15" s="22" t="s">
        <v>799</v>
      </c>
      <c r="F15" s="22" t="str">
        <f t="shared" si="0"/>
        <v>NA</v>
      </c>
      <c r="G15" s="22" t="str">
        <f t="shared" si="1"/>
        <v/>
      </c>
      <c r="H15" s="22" t="str">
        <f t="shared" si="2"/>
        <v/>
      </c>
      <c r="I15" s="22" t="str">
        <f t="shared" si="3"/>
        <v/>
      </c>
      <c r="J15" s="22" t="str">
        <f t="shared" si="4"/>
        <v/>
      </c>
      <c r="K15" s="14"/>
    </row>
    <row r="16" spans="2:11" ht="43.5">
      <c r="B16" s="22" t="s">
        <v>355</v>
      </c>
      <c r="C16" s="23" t="str">
        <f t="shared" si="5"/>
        <v>Not Applicable</v>
      </c>
      <c r="D16" s="22" t="s">
        <v>580</v>
      </c>
      <c r="E16" s="22" t="s">
        <v>800</v>
      </c>
      <c r="F16" s="22" t="str">
        <f t="shared" si="0"/>
        <v>NA</v>
      </c>
      <c r="G16" s="22" t="str">
        <f t="shared" si="1"/>
        <v/>
      </c>
      <c r="H16" s="22" t="str">
        <f t="shared" si="2"/>
        <v/>
      </c>
      <c r="I16" s="22" t="str">
        <f t="shared" si="3"/>
        <v/>
      </c>
      <c r="J16" s="22" t="str">
        <f t="shared" si="4"/>
        <v/>
      </c>
      <c r="K16" s="14"/>
    </row>
    <row r="17" spans="2:11" ht="29">
      <c r="B17" s="22" t="s">
        <v>356</v>
      </c>
      <c r="C17" s="23" t="str">
        <f t="shared" si="5"/>
        <v>Not Applicable</v>
      </c>
      <c r="D17" s="22" t="s">
        <v>580</v>
      </c>
      <c r="E17" s="22" t="s">
        <v>55</v>
      </c>
      <c r="F17" s="22" t="str">
        <f t="shared" si="0"/>
        <v>NA</v>
      </c>
      <c r="G17" s="22" t="str">
        <f t="shared" si="1"/>
        <v/>
      </c>
      <c r="H17" s="22" t="str">
        <f t="shared" si="2"/>
        <v/>
      </c>
      <c r="I17" s="22" t="str">
        <f t="shared" si="3"/>
        <v/>
      </c>
      <c r="J17" s="22" t="str">
        <f t="shared" si="4"/>
        <v/>
      </c>
      <c r="K17" s="14"/>
    </row>
    <row r="18" spans="2:11" ht="58">
      <c r="B18" s="22" t="s">
        <v>357</v>
      </c>
      <c r="C18" s="23" t="str">
        <f t="shared" si="5"/>
        <v>Not Applicable</v>
      </c>
      <c r="D18" s="22" t="s">
        <v>580</v>
      </c>
      <c r="E18" s="22" t="s">
        <v>801</v>
      </c>
      <c r="F18" s="22" t="str">
        <f t="shared" si="0"/>
        <v>NA</v>
      </c>
      <c r="G18" s="22" t="str">
        <f t="shared" si="1"/>
        <v/>
      </c>
      <c r="H18" s="22" t="str">
        <f t="shared" si="2"/>
        <v/>
      </c>
      <c r="I18" s="22" t="str">
        <f t="shared" si="3"/>
        <v/>
      </c>
      <c r="J18" s="22" t="str">
        <f t="shared" si="4"/>
        <v/>
      </c>
      <c r="K18" s="14"/>
    </row>
    <row r="19" spans="2:11" ht="43.5">
      <c r="B19" s="22" t="s">
        <v>358</v>
      </c>
      <c r="C19" s="23" t="str">
        <f t="shared" si="5"/>
        <v>Not Applicable</v>
      </c>
      <c r="D19" s="22" t="s">
        <v>578</v>
      </c>
      <c r="E19" s="22" t="s">
        <v>31</v>
      </c>
      <c r="F19" s="22" t="str">
        <f t="shared" si="0"/>
        <v>NA</v>
      </c>
      <c r="G19" s="22" t="str">
        <f t="shared" si="1"/>
        <v/>
      </c>
      <c r="H19" s="22" t="str">
        <f t="shared" si="2"/>
        <v/>
      </c>
      <c r="I19" s="22" t="str">
        <f t="shared" si="3"/>
        <v/>
      </c>
      <c r="J19" s="22" t="str">
        <f t="shared" si="4"/>
        <v/>
      </c>
      <c r="K19" s="14"/>
    </row>
    <row r="20" spans="2:11" ht="43.5">
      <c r="B20" s="22" t="s">
        <v>359</v>
      </c>
      <c r="C20" s="23" t="str">
        <f t="shared" si="5"/>
        <v>Not Applicable</v>
      </c>
      <c r="D20" s="22" t="s">
        <v>578</v>
      </c>
      <c r="E20" s="22" t="s">
        <v>43</v>
      </c>
      <c r="F20" s="22" t="str">
        <f t="shared" si="0"/>
        <v>NA</v>
      </c>
      <c r="G20" s="22" t="str">
        <f t="shared" si="1"/>
        <v/>
      </c>
      <c r="H20" s="22" t="str">
        <f t="shared" si="2"/>
        <v/>
      </c>
      <c r="I20" s="22" t="str">
        <f t="shared" si="3"/>
        <v/>
      </c>
      <c r="J20" s="22" t="str">
        <f t="shared" si="4"/>
        <v/>
      </c>
      <c r="K20" s="14"/>
    </row>
  </sheetData>
  <conditionalFormatting sqref="C1:C1048576">
    <cfRule type="containsText" dxfId="59" priority="11" operator="containsText" text="Not Applicable">
      <formula>NOT(ISERROR(SEARCH("Not Applicable",C1)))</formula>
    </cfRule>
    <cfRule type="containsText" dxfId="58" priority="12" operator="containsText" text="Applicable">
      <formula>NOT(ISERROR(SEARCH("Applicable",C1)))</formula>
    </cfRule>
  </conditionalFormatting>
  <conditionalFormatting sqref="F4:F50">
    <cfRule type="containsText" dxfId="57" priority="7" operator="containsText" text="Not">
      <formula>NOT(ISERROR(SEARCH("Not",F4)))</formula>
    </cfRule>
    <cfRule type="containsText" dxfId="56" priority="8" operator="containsText" text="Comply">
      <formula>NOT(ISERROR(SEARCH("Comply",F4)))</formula>
    </cfRule>
  </conditionalFormatting>
  <conditionalFormatting sqref="G4:G20">
    <cfRule type="containsText" dxfId="55" priority="4" operator="containsText" text="Gaps to be stated here">
      <formula>NOT(ISERROR(SEARCH("Gaps to be stated here",G4)))</formula>
    </cfRule>
  </conditionalFormatting>
  <conditionalFormatting sqref="H4:H20">
    <cfRule type="containsText" dxfId="54" priority="5" operator="containsText" text="action to be stated here">
      <formula>NOT(ISERROR(SEARCH("action to be stated here",H4)))</formula>
    </cfRule>
  </conditionalFormatting>
  <conditionalFormatting sqref="I4:I20">
    <cfRule type="containsText" dxfId="53" priority="3" operator="containsText" text="Name of PIC to be stated here">
      <formula>NOT(ISERROR(SEARCH("Name of PIC to be stated here",I4)))</formula>
    </cfRule>
  </conditionalFormatting>
  <conditionalFormatting sqref="J4:J20">
    <cfRule type="containsText" dxfId="52" priority="2" operator="containsText" text="action date to be stated here">
      <formula>NOT(ISERROR(SEARCH("action date to be stated here",J4)))</formula>
    </cfRule>
  </conditionalFormatting>
  <conditionalFormatting sqref="K3">
    <cfRule type="expression" dxfId="51" priority="1">
      <formula>$K$2&gt;0</formula>
    </cfRule>
  </conditionalFormatting>
  <conditionalFormatting sqref="K4:K20">
    <cfRule type="expression" dxfId="5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B68AF412-9969-4FA8-92B7-D9CBE05C6194}">
          <x14:formula1>
            <xm:f>'back-data'!$B$4:$B$6</xm:f>
          </x14:formula1>
          <xm:sqref>D4:D20</xm:sqref>
        </x14:dataValidation>
        <x14:dataValidation type="list" allowBlank="1" showInputMessage="1" showErrorMessage="1" xr:uid="{760F6491-3F63-456A-B6FB-3ABE89244981}">
          <x14:formula1>
            <xm:f>'back-data'!$B$13:$B$15</xm:f>
          </x14:formula1>
          <xm:sqref>F4:F20</xm:sqref>
        </x14:dataValidation>
        <x14:dataValidation type="list" allowBlank="1" showInputMessage="1" showErrorMessage="1" xr:uid="{BC63180B-DEA5-4888-9AAF-B3D9B144AA9C}">
          <x14:formula1>
            <xm:f>Action_Tracker_Data!$W$4:$W$13</xm:f>
          </x14:formula1>
          <xm:sqref>K4:K20</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AB866-830B-46DD-AED2-9DBC1C9C497C}">
  <sheetPr>
    <tabColor rgb="FF006E3C"/>
  </sheetPr>
  <dimension ref="B1:K21"/>
  <sheetViews>
    <sheetView showGridLines="0" showRowColHeaders="0" zoomScaleNormal="100" workbookViewId="0">
      <selection activeCell="A7" sqref="A7"/>
    </sheetView>
  </sheetViews>
  <sheetFormatPr defaultRowHeight="14.5"/>
  <cols>
    <col min="1" max="1" width="27.81640625" style="8" customWidth="1"/>
    <col min="2" max="2" width="45.7265625" style="8" customWidth="1"/>
    <col min="3" max="3" width="16.36328125" style="8" customWidth="1"/>
    <col min="4" max="4" width="25.6328125" style="8" customWidth="1"/>
    <col min="5" max="5" width="26.269531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302</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22" t="s">
        <v>204</v>
      </c>
      <c r="C4" s="23" t="str">
        <f>IF(Home!B276=TRUE,"Applicable","Not Applicable")</f>
        <v>Not Applicable</v>
      </c>
      <c r="D4" s="22" t="s">
        <v>580</v>
      </c>
      <c r="E4" s="22" t="s">
        <v>43</v>
      </c>
      <c r="F4" s="22" t="str">
        <f t="shared" ref="F4:F12"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205</v>
      </c>
      <c r="C5" s="23" t="str">
        <f>C4</f>
        <v>Not Applicable</v>
      </c>
      <c r="D5" s="22" t="s">
        <v>580</v>
      </c>
      <c r="E5" s="22" t="s">
        <v>832</v>
      </c>
      <c r="F5" s="22" t="str">
        <f t="shared" si="0"/>
        <v>NA</v>
      </c>
      <c r="G5" s="22" t="str">
        <f t="shared" ref="G5:G12" si="1">IF(F5="not comply","Gaps to be stated here","")</f>
        <v/>
      </c>
      <c r="H5" s="22" t="str">
        <f t="shared" ref="H5:H12" si="2">IF(F5="not comply","action to be stated here","")</f>
        <v/>
      </c>
      <c r="I5" s="22" t="str">
        <f t="shared" ref="I5:I12" si="3">IF(F5="not comply","Name of PIC to be stated here","")</f>
        <v/>
      </c>
      <c r="J5" s="22" t="str">
        <f t="shared" ref="J5:J12" si="4">IF(F5="not comply","action date to be stated here","")</f>
        <v/>
      </c>
      <c r="K5" s="14"/>
    </row>
    <row r="6" spans="2:11" ht="72.5">
      <c r="B6" s="22" t="s">
        <v>206</v>
      </c>
      <c r="C6" s="23" t="str">
        <f t="shared" ref="C6:C12" si="5">C5</f>
        <v>Not Applicable</v>
      </c>
      <c r="D6" s="22" t="s">
        <v>580</v>
      </c>
      <c r="E6" s="22" t="s">
        <v>833</v>
      </c>
      <c r="F6" s="22" t="str">
        <f t="shared" si="0"/>
        <v>NA</v>
      </c>
      <c r="G6" s="22" t="str">
        <f t="shared" si="1"/>
        <v/>
      </c>
      <c r="H6" s="22" t="str">
        <f t="shared" si="2"/>
        <v/>
      </c>
      <c r="I6" s="22" t="str">
        <f t="shared" si="3"/>
        <v/>
      </c>
      <c r="J6" s="22" t="str">
        <f t="shared" si="4"/>
        <v/>
      </c>
      <c r="K6" s="14"/>
    </row>
    <row r="7" spans="2:11" ht="58">
      <c r="B7" s="22" t="s">
        <v>207</v>
      </c>
      <c r="C7" s="23" t="str">
        <f t="shared" si="5"/>
        <v>Not Applicable</v>
      </c>
      <c r="D7" s="22" t="s">
        <v>580</v>
      </c>
      <c r="E7" s="22" t="s">
        <v>834</v>
      </c>
      <c r="F7" s="22" t="str">
        <f t="shared" si="0"/>
        <v>NA</v>
      </c>
      <c r="G7" s="22" t="str">
        <f t="shared" si="1"/>
        <v/>
      </c>
      <c r="H7" s="22" t="str">
        <f t="shared" si="2"/>
        <v/>
      </c>
      <c r="I7" s="22" t="str">
        <f t="shared" si="3"/>
        <v/>
      </c>
      <c r="J7" s="22" t="str">
        <f t="shared" si="4"/>
        <v/>
      </c>
      <c r="K7" s="14"/>
    </row>
    <row r="8" spans="2:11" ht="29">
      <c r="B8" s="22" t="s">
        <v>208</v>
      </c>
      <c r="C8" s="23" t="str">
        <f t="shared" si="5"/>
        <v>Not Applicable</v>
      </c>
      <c r="D8" s="22" t="s">
        <v>578</v>
      </c>
      <c r="E8" s="22" t="s">
        <v>51</v>
      </c>
      <c r="F8" s="22" t="str">
        <f t="shared" si="0"/>
        <v>NA</v>
      </c>
      <c r="G8" s="22" t="str">
        <f t="shared" si="1"/>
        <v/>
      </c>
      <c r="H8" s="22" t="str">
        <f t="shared" si="2"/>
        <v/>
      </c>
      <c r="I8" s="22" t="str">
        <f t="shared" si="3"/>
        <v/>
      </c>
      <c r="J8" s="22" t="str">
        <f t="shared" si="4"/>
        <v/>
      </c>
      <c r="K8" s="14"/>
    </row>
    <row r="9" spans="2:11" ht="58">
      <c r="B9" s="22" t="s">
        <v>209</v>
      </c>
      <c r="C9" s="23" t="str">
        <f t="shared" si="5"/>
        <v>Not Applicable</v>
      </c>
      <c r="D9" s="22" t="s">
        <v>580</v>
      </c>
      <c r="E9" s="22" t="s">
        <v>835</v>
      </c>
      <c r="F9" s="22" t="str">
        <f t="shared" si="0"/>
        <v>NA</v>
      </c>
      <c r="G9" s="22" t="str">
        <f t="shared" si="1"/>
        <v/>
      </c>
      <c r="H9" s="22" t="str">
        <f t="shared" si="2"/>
        <v/>
      </c>
      <c r="I9" s="22" t="str">
        <f t="shared" si="3"/>
        <v/>
      </c>
      <c r="J9" s="22" t="str">
        <f t="shared" si="4"/>
        <v/>
      </c>
      <c r="K9" s="14"/>
    </row>
    <row r="10" spans="2:11" ht="43.5">
      <c r="B10" s="22" t="s">
        <v>210</v>
      </c>
      <c r="C10" s="23" t="str">
        <f t="shared" si="5"/>
        <v>Not Applicable</v>
      </c>
      <c r="D10" s="22" t="s">
        <v>580</v>
      </c>
      <c r="E10" s="22" t="s">
        <v>836</v>
      </c>
      <c r="F10" s="22" t="str">
        <f t="shared" si="0"/>
        <v>NA</v>
      </c>
      <c r="G10" s="22" t="str">
        <f t="shared" si="1"/>
        <v/>
      </c>
      <c r="H10" s="22" t="str">
        <f t="shared" si="2"/>
        <v/>
      </c>
      <c r="I10" s="22" t="str">
        <f t="shared" si="3"/>
        <v/>
      </c>
      <c r="J10" s="22" t="str">
        <f t="shared" si="4"/>
        <v/>
      </c>
      <c r="K10" s="14"/>
    </row>
    <row r="11" spans="2:11" ht="29">
      <c r="B11" s="22" t="s">
        <v>211</v>
      </c>
      <c r="C11" s="23" t="str">
        <f t="shared" si="5"/>
        <v>Not Applicable</v>
      </c>
      <c r="D11" s="22" t="s">
        <v>580</v>
      </c>
      <c r="E11" s="22" t="s">
        <v>55</v>
      </c>
      <c r="F11" s="22" t="str">
        <f t="shared" si="0"/>
        <v>NA</v>
      </c>
      <c r="G11" s="22" t="str">
        <f t="shared" si="1"/>
        <v/>
      </c>
      <c r="H11" s="22" t="str">
        <f t="shared" si="2"/>
        <v/>
      </c>
      <c r="I11" s="22" t="str">
        <f t="shared" si="3"/>
        <v/>
      </c>
      <c r="J11" s="22" t="str">
        <f t="shared" si="4"/>
        <v/>
      </c>
      <c r="K11" s="14"/>
    </row>
    <row r="12" spans="2:11" ht="58">
      <c r="B12" s="22" t="s">
        <v>212</v>
      </c>
      <c r="C12" s="23" t="str">
        <f t="shared" si="5"/>
        <v>Not Applicable</v>
      </c>
      <c r="D12" s="22" t="s">
        <v>580</v>
      </c>
      <c r="E12" s="22" t="s">
        <v>837</v>
      </c>
      <c r="F12" s="22" t="str">
        <f t="shared" si="0"/>
        <v>NA</v>
      </c>
      <c r="G12" s="22" t="str">
        <f t="shared" si="1"/>
        <v/>
      </c>
      <c r="H12" s="22" t="str">
        <f t="shared" si="2"/>
        <v/>
      </c>
      <c r="I12" s="22" t="str">
        <f t="shared" si="3"/>
        <v/>
      </c>
      <c r="J12" s="22" t="str">
        <f t="shared" si="4"/>
        <v/>
      </c>
      <c r="K12" s="14"/>
    </row>
    <row r="13" spans="2:11">
      <c r="C13" s="52"/>
    </row>
    <row r="14" spans="2:11">
      <c r="C14" s="52"/>
    </row>
    <row r="15" spans="2:11">
      <c r="C15" s="52"/>
    </row>
    <row r="16" spans="2:11">
      <c r="C16" s="52"/>
    </row>
    <row r="17" spans="3:3">
      <c r="C17" s="52"/>
    </row>
    <row r="18" spans="3:3">
      <c r="C18" s="52"/>
    </row>
    <row r="19" spans="3:3">
      <c r="C19" s="52"/>
    </row>
    <row r="20" spans="3:3">
      <c r="C20" s="52"/>
    </row>
    <row r="21" spans="3:3">
      <c r="C21" s="52"/>
    </row>
  </sheetData>
  <conditionalFormatting sqref="C1:C1048576">
    <cfRule type="containsText" dxfId="49" priority="9" operator="containsText" text="Not Applicable">
      <formula>NOT(ISERROR(SEARCH("Not Applicable",C1)))</formula>
    </cfRule>
    <cfRule type="containsText" dxfId="48" priority="10" operator="containsText" text="Applicable">
      <formula>NOT(ISERROR(SEARCH("Applicable",C1)))</formula>
    </cfRule>
  </conditionalFormatting>
  <conditionalFormatting sqref="F4:F50">
    <cfRule type="containsText" dxfId="47" priority="7" operator="containsText" text="Not">
      <formula>NOT(ISERROR(SEARCH("Not",F4)))</formula>
    </cfRule>
    <cfRule type="containsText" dxfId="46" priority="8" operator="containsText" text="Comply">
      <formula>NOT(ISERROR(SEARCH("Comply",F4)))</formula>
    </cfRule>
  </conditionalFormatting>
  <conditionalFormatting sqref="G4:G12">
    <cfRule type="containsText" dxfId="45" priority="4" operator="containsText" text="Gaps to be stated here">
      <formula>NOT(ISERROR(SEARCH("Gaps to be stated here",G4)))</formula>
    </cfRule>
  </conditionalFormatting>
  <conditionalFormatting sqref="H4:H12">
    <cfRule type="containsText" dxfId="44" priority="5" operator="containsText" text="action to be stated here">
      <formula>NOT(ISERROR(SEARCH("action to be stated here",H4)))</formula>
    </cfRule>
  </conditionalFormatting>
  <conditionalFormatting sqref="I4:I12">
    <cfRule type="containsText" dxfId="43" priority="3" operator="containsText" text="Name of PIC to be stated here">
      <formula>NOT(ISERROR(SEARCH("Name of PIC to be stated here",I4)))</formula>
    </cfRule>
  </conditionalFormatting>
  <conditionalFormatting sqref="J4:J12">
    <cfRule type="containsText" dxfId="42" priority="2" operator="containsText" text="action date to be stated here">
      <formula>NOT(ISERROR(SEARCH("action date to be stated here",J4)))</formula>
    </cfRule>
  </conditionalFormatting>
  <conditionalFormatting sqref="K3">
    <cfRule type="expression" dxfId="41" priority="1">
      <formula>$K$2&gt;0</formula>
    </cfRule>
  </conditionalFormatting>
  <conditionalFormatting sqref="K4:K12">
    <cfRule type="expression" dxfId="4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5170C6A-8A23-4A83-AFA3-3C74CD00AB92}">
          <x14:formula1>
            <xm:f>'back-data'!$B$4:$B$6</xm:f>
          </x14:formula1>
          <xm:sqref>D4:D12</xm:sqref>
        </x14:dataValidation>
        <x14:dataValidation type="list" allowBlank="1" showInputMessage="1" showErrorMessage="1" xr:uid="{7D759FB3-C2C6-48BB-9FF3-70AE5153156C}">
          <x14:formula1>
            <xm:f>'back-data'!$B$13:$B$15</xm:f>
          </x14:formula1>
          <xm:sqref>F4:F12</xm:sqref>
        </x14:dataValidation>
        <x14:dataValidation type="list" allowBlank="1" showInputMessage="1" showErrorMessage="1" xr:uid="{CF5F4438-EDE2-48C2-9ACC-1F504ABAE326}">
          <x14:formula1>
            <xm:f>Action_Tracker_Data!$X$4:$X$13</xm:f>
          </x14:formula1>
          <xm:sqref>K4:K12</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1F25E-8181-47D1-845C-D3D0DE68A750}">
  <sheetPr>
    <tabColor rgb="FF600000"/>
  </sheetPr>
  <dimension ref="B1:K34"/>
  <sheetViews>
    <sheetView showGridLines="0" showRowColHeaders="0" workbookViewId="0">
      <selection activeCell="D7" sqref="D7"/>
    </sheetView>
  </sheetViews>
  <sheetFormatPr defaultRowHeight="14.5"/>
  <cols>
    <col min="1" max="1" width="27.81640625" customWidth="1"/>
    <col min="2" max="2" width="40.90625" style="8" customWidth="1"/>
    <col min="3" max="3" width="15" style="8" customWidth="1"/>
    <col min="4" max="5" width="26.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customWidth="1"/>
  </cols>
  <sheetData>
    <row r="1" spans="2:11" ht="16">
      <c r="B1" s="10" t="s">
        <v>463</v>
      </c>
      <c r="F1" s="15"/>
    </row>
    <row r="2" spans="2:11">
      <c r="F2" s="15"/>
      <c r="K2" s="132">
        <f>COUNTIF(F4:F109,"Not Comply")</f>
        <v>0</v>
      </c>
    </row>
    <row r="3" spans="2:11" s="8" customFormat="1" ht="29.5" thickBot="1">
      <c r="B3" s="21" t="s">
        <v>115</v>
      </c>
      <c r="C3" s="21" t="s">
        <v>48</v>
      </c>
      <c r="D3" s="21" t="s">
        <v>57</v>
      </c>
      <c r="E3" s="21" t="s">
        <v>1812</v>
      </c>
      <c r="F3" s="21" t="s">
        <v>1410</v>
      </c>
      <c r="G3" s="21" t="s">
        <v>1845</v>
      </c>
      <c r="H3" s="21" t="s">
        <v>1846</v>
      </c>
      <c r="I3" s="21" t="s">
        <v>1847</v>
      </c>
      <c r="J3" s="21" t="s">
        <v>1848</v>
      </c>
      <c r="K3" s="132" t="s">
        <v>2036</v>
      </c>
    </row>
    <row r="4" spans="2:11" ht="73" thickTop="1">
      <c r="B4" s="32" t="s">
        <v>432</v>
      </c>
      <c r="C4" s="29" t="str">
        <f>IF(OR(Home!B271=TRUE,Home!B270=TRUE),"Applicable","Not Applicable")</f>
        <v>Not Applicable</v>
      </c>
      <c r="D4" s="29" t="s">
        <v>580</v>
      </c>
      <c r="E4" s="32" t="s">
        <v>911</v>
      </c>
      <c r="F4" s="22" t="str">
        <f t="shared" ref="F4:F34"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433</v>
      </c>
      <c r="C5" s="23" t="str">
        <f>C4</f>
        <v>Not Applicable</v>
      </c>
      <c r="D5" s="23" t="s">
        <v>580</v>
      </c>
      <c r="E5" s="22" t="s">
        <v>912</v>
      </c>
      <c r="F5" s="22" t="str">
        <f t="shared" si="0"/>
        <v>NA</v>
      </c>
      <c r="G5" s="22" t="str">
        <f t="shared" ref="G5:G32" si="1">IF(F5="not comply","Gaps to be stated here","")</f>
        <v/>
      </c>
      <c r="H5" s="22" t="str">
        <f t="shared" ref="H5:H34" si="2">IF(F5="not comply","action to be stated here","")</f>
        <v/>
      </c>
      <c r="I5" s="22" t="str">
        <f t="shared" ref="I5:I34" si="3">IF(F5="not comply","Name of PIC to be stated here","")</f>
        <v/>
      </c>
      <c r="J5" s="22" t="str">
        <f t="shared" ref="J5:J34" si="4">IF(F5="not comply","action date to be stated here","")</f>
        <v/>
      </c>
      <c r="K5" s="14"/>
    </row>
    <row r="6" spans="2:11" ht="58">
      <c r="B6" s="22" t="s">
        <v>434</v>
      </c>
      <c r="C6" s="23" t="str">
        <f t="shared" ref="C6:C34" si="5">C5</f>
        <v>Not Applicable</v>
      </c>
      <c r="D6" s="23" t="s">
        <v>578</v>
      </c>
      <c r="E6" s="22" t="s">
        <v>913</v>
      </c>
      <c r="F6" s="22" t="str">
        <f t="shared" si="0"/>
        <v>NA</v>
      </c>
      <c r="G6" s="22" t="str">
        <f t="shared" si="1"/>
        <v/>
      </c>
      <c r="H6" s="22" t="str">
        <f t="shared" si="2"/>
        <v/>
      </c>
      <c r="I6" s="22" t="str">
        <f t="shared" si="3"/>
        <v/>
      </c>
      <c r="J6" s="22" t="str">
        <f t="shared" si="4"/>
        <v/>
      </c>
      <c r="K6" s="14"/>
    </row>
    <row r="7" spans="2:11" ht="43.5">
      <c r="B7" s="22" t="s">
        <v>435</v>
      </c>
      <c r="C7" s="23" t="str">
        <f t="shared" si="5"/>
        <v>Not Applicable</v>
      </c>
      <c r="D7" s="23" t="s">
        <v>578</v>
      </c>
      <c r="E7" s="22" t="s">
        <v>914</v>
      </c>
      <c r="F7" s="22" t="str">
        <f t="shared" si="0"/>
        <v>NA</v>
      </c>
      <c r="G7" s="22" t="str">
        <f t="shared" si="1"/>
        <v/>
      </c>
      <c r="H7" s="22" t="str">
        <f t="shared" si="2"/>
        <v/>
      </c>
      <c r="I7" s="22" t="str">
        <f t="shared" si="3"/>
        <v/>
      </c>
      <c r="J7" s="22" t="str">
        <f t="shared" si="4"/>
        <v/>
      </c>
      <c r="K7" s="14"/>
    </row>
    <row r="8" spans="2:11" ht="43.5">
      <c r="B8" s="22" t="s">
        <v>436</v>
      </c>
      <c r="C8" s="23" t="str">
        <f t="shared" si="5"/>
        <v>Not Applicable</v>
      </c>
      <c r="D8" s="23" t="s">
        <v>578</v>
      </c>
      <c r="E8" s="22" t="s">
        <v>915</v>
      </c>
      <c r="F8" s="22" t="str">
        <f t="shared" si="0"/>
        <v>NA</v>
      </c>
      <c r="G8" s="22" t="str">
        <f t="shared" si="1"/>
        <v/>
      </c>
      <c r="H8" s="22" t="str">
        <f t="shared" si="2"/>
        <v/>
      </c>
      <c r="I8" s="22" t="str">
        <f t="shared" si="3"/>
        <v/>
      </c>
      <c r="J8" s="22" t="str">
        <f t="shared" si="4"/>
        <v/>
      </c>
      <c r="K8" s="14"/>
    </row>
    <row r="9" spans="2:11" ht="43.5">
      <c r="B9" s="22" t="s">
        <v>437</v>
      </c>
      <c r="C9" s="23" t="str">
        <f t="shared" si="5"/>
        <v>Not Applicable</v>
      </c>
      <c r="D9" s="23" t="s">
        <v>578</v>
      </c>
      <c r="E9" s="22" t="s">
        <v>916</v>
      </c>
      <c r="F9" s="22" t="str">
        <f t="shared" si="0"/>
        <v>NA</v>
      </c>
      <c r="G9" s="22" t="str">
        <f t="shared" si="1"/>
        <v/>
      </c>
      <c r="H9" s="22" t="str">
        <f t="shared" si="2"/>
        <v/>
      </c>
      <c r="I9" s="22" t="str">
        <f t="shared" si="3"/>
        <v/>
      </c>
      <c r="J9" s="22" t="str">
        <f t="shared" si="4"/>
        <v/>
      </c>
      <c r="K9" s="14"/>
    </row>
    <row r="10" spans="2:11" ht="29">
      <c r="B10" s="22" t="s">
        <v>438</v>
      </c>
      <c r="C10" s="23" t="str">
        <f t="shared" si="5"/>
        <v>Not Applicable</v>
      </c>
      <c r="D10" s="23" t="s">
        <v>578</v>
      </c>
      <c r="E10" s="22" t="s">
        <v>885</v>
      </c>
      <c r="F10" s="22" t="str">
        <f t="shared" si="0"/>
        <v>NA</v>
      </c>
      <c r="G10" s="22" t="str">
        <f t="shared" si="1"/>
        <v/>
      </c>
      <c r="H10" s="22" t="str">
        <f t="shared" si="2"/>
        <v/>
      </c>
      <c r="I10" s="22" t="str">
        <f t="shared" si="3"/>
        <v/>
      </c>
      <c r="J10" s="22" t="str">
        <f t="shared" si="4"/>
        <v/>
      </c>
      <c r="K10" s="14"/>
    </row>
    <row r="11" spans="2:11" ht="43.5">
      <c r="B11" s="22" t="s">
        <v>439</v>
      </c>
      <c r="C11" s="23" t="str">
        <f t="shared" si="5"/>
        <v>Not Applicable</v>
      </c>
      <c r="D11" s="23" t="s">
        <v>578</v>
      </c>
      <c r="E11" s="22" t="s">
        <v>917</v>
      </c>
      <c r="F11" s="22" t="str">
        <f t="shared" si="0"/>
        <v>NA</v>
      </c>
      <c r="G11" s="22" t="str">
        <f t="shared" si="1"/>
        <v/>
      </c>
      <c r="H11" s="22" t="str">
        <f t="shared" si="2"/>
        <v/>
      </c>
      <c r="I11" s="22" t="str">
        <f t="shared" si="3"/>
        <v/>
      </c>
      <c r="J11" s="22" t="str">
        <f t="shared" si="4"/>
        <v/>
      </c>
      <c r="K11" s="14"/>
    </row>
    <row r="12" spans="2:11" ht="43.5">
      <c r="B12" s="22" t="s">
        <v>440</v>
      </c>
      <c r="C12" s="23" t="str">
        <f t="shared" si="5"/>
        <v>Not Applicable</v>
      </c>
      <c r="D12" s="23" t="s">
        <v>578</v>
      </c>
      <c r="E12" s="22" t="s">
        <v>918</v>
      </c>
      <c r="F12" s="22" t="str">
        <f t="shared" si="0"/>
        <v>NA</v>
      </c>
      <c r="G12" s="22" t="str">
        <f t="shared" si="1"/>
        <v/>
      </c>
      <c r="H12" s="22" t="str">
        <f t="shared" si="2"/>
        <v/>
      </c>
      <c r="I12" s="22" t="str">
        <f t="shared" si="3"/>
        <v/>
      </c>
      <c r="J12" s="22" t="str">
        <f t="shared" si="4"/>
        <v/>
      </c>
      <c r="K12" s="14"/>
    </row>
    <row r="13" spans="2:11" ht="43.5">
      <c r="B13" s="22" t="s">
        <v>441</v>
      </c>
      <c r="C13" s="23" t="str">
        <f t="shared" si="5"/>
        <v>Not Applicable</v>
      </c>
      <c r="D13" s="23" t="s">
        <v>578</v>
      </c>
      <c r="E13" s="22" t="s">
        <v>919</v>
      </c>
      <c r="F13" s="22" t="str">
        <f t="shared" si="0"/>
        <v>NA</v>
      </c>
      <c r="G13" s="22" t="str">
        <f t="shared" si="1"/>
        <v/>
      </c>
      <c r="H13" s="22" t="str">
        <f t="shared" si="2"/>
        <v/>
      </c>
      <c r="I13" s="22" t="str">
        <f t="shared" si="3"/>
        <v/>
      </c>
      <c r="J13" s="22" t="str">
        <f t="shared" si="4"/>
        <v/>
      </c>
      <c r="K13" s="14"/>
    </row>
    <row r="14" spans="2:11" ht="43.5">
      <c r="B14" s="22" t="s">
        <v>442</v>
      </c>
      <c r="C14" s="23" t="str">
        <f t="shared" si="5"/>
        <v>Not Applicable</v>
      </c>
      <c r="D14" s="23" t="s">
        <v>580</v>
      </c>
      <c r="E14" s="22" t="s">
        <v>920</v>
      </c>
      <c r="F14" s="22" t="str">
        <f t="shared" si="0"/>
        <v>NA</v>
      </c>
      <c r="G14" s="22" t="str">
        <f t="shared" si="1"/>
        <v/>
      </c>
      <c r="H14" s="22" t="str">
        <f t="shared" si="2"/>
        <v/>
      </c>
      <c r="I14" s="22" t="str">
        <f t="shared" si="3"/>
        <v/>
      </c>
      <c r="J14" s="22" t="str">
        <f t="shared" si="4"/>
        <v/>
      </c>
      <c r="K14" s="14"/>
    </row>
    <row r="15" spans="2:11" ht="58">
      <c r="B15" s="22" t="s">
        <v>443</v>
      </c>
      <c r="C15" s="23" t="str">
        <f t="shared" si="5"/>
        <v>Not Applicable</v>
      </c>
      <c r="D15" s="23" t="s">
        <v>580</v>
      </c>
      <c r="E15" s="22" t="s">
        <v>921</v>
      </c>
      <c r="F15" s="22" t="str">
        <f t="shared" si="0"/>
        <v>NA</v>
      </c>
      <c r="G15" s="22" t="str">
        <f t="shared" si="1"/>
        <v/>
      </c>
      <c r="H15" s="22" t="str">
        <f t="shared" si="2"/>
        <v/>
      </c>
      <c r="I15" s="22" t="str">
        <f t="shared" si="3"/>
        <v/>
      </c>
      <c r="J15" s="22" t="str">
        <f t="shared" si="4"/>
        <v/>
      </c>
      <c r="K15" s="14"/>
    </row>
    <row r="16" spans="2:11" ht="43.5">
      <c r="B16" s="22" t="s">
        <v>444</v>
      </c>
      <c r="C16" s="23" t="str">
        <f t="shared" si="5"/>
        <v>Not Applicable</v>
      </c>
      <c r="D16" s="23" t="s">
        <v>580</v>
      </c>
      <c r="E16" s="22" t="s">
        <v>922</v>
      </c>
      <c r="F16" s="22" t="str">
        <f t="shared" si="0"/>
        <v>NA</v>
      </c>
      <c r="G16" s="22" t="str">
        <f t="shared" si="1"/>
        <v/>
      </c>
      <c r="H16" s="22" t="str">
        <f t="shared" si="2"/>
        <v/>
      </c>
      <c r="I16" s="22" t="str">
        <f t="shared" si="3"/>
        <v/>
      </c>
      <c r="J16" s="22" t="str">
        <f t="shared" si="4"/>
        <v/>
      </c>
      <c r="K16" s="14"/>
    </row>
    <row r="17" spans="2:11" ht="43.5">
      <c r="B17" s="22" t="s">
        <v>445</v>
      </c>
      <c r="C17" s="23" t="str">
        <f t="shared" si="5"/>
        <v>Not Applicable</v>
      </c>
      <c r="D17" s="23" t="s">
        <v>580</v>
      </c>
      <c r="E17" s="22" t="s">
        <v>923</v>
      </c>
      <c r="F17" s="22" t="str">
        <f t="shared" si="0"/>
        <v>NA</v>
      </c>
      <c r="G17" s="22" t="str">
        <f t="shared" si="1"/>
        <v/>
      </c>
      <c r="H17" s="22" t="str">
        <f t="shared" si="2"/>
        <v/>
      </c>
      <c r="I17" s="22" t="str">
        <f t="shared" si="3"/>
        <v/>
      </c>
      <c r="J17" s="22" t="str">
        <f t="shared" si="4"/>
        <v/>
      </c>
      <c r="K17" s="14"/>
    </row>
    <row r="18" spans="2:11" ht="43.5">
      <c r="B18" s="22" t="s">
        <v>446</v>
      </c>
      <c r="C18" s="23" t="str">
        <f t="shared" si="5"/>
        <v>Not Applicable</v>
      </c>
      <c r="D18" s="23" t="s">
        <v>578</v>
      </c>
      <c r="E18" s="22" t="s">
        <v>924</v>
      </c>
      <c r="F18" s="22" t="str">
        <f t="shared" si="0"/>
        <v>NA</v>
      </c>
      <c r="G18" s="22" t="str">
        <f t="shared" si="1"/>
        <v/>
      </c>
      <c r="H18" s="22" t="str">
        <f t="shared" si="2"/>
        <v/>
      </c>
      <c r="I18" s="22" t="str">
        <f t="shared" si="3"/>
        <v/>
      </c>
      <c r="J18" s="22" t="str">
        <f t="shared" si="4"/>
        <v/>
      </c>
      <c r="K18" s="14"/>
    </row>
    <row r="19" spans="2:11" ht="43.5">
      <c r="B19" s="22" t="s">
        <v>447</v>
      </c>
      <c r="C19" s="23" t="str">
        <f t="shared" si="5"/>
        <v>Not Applicable</v>
      </c>
      <c r="D19" s="23" t="s">
        <v>578</v>
      </c>
      <c r="E19" s="22" t="s">
        <v>925</v>
      </c>
      <c r="F19" s="22" t="str">
        <f t="shared" si="0"/>
        <v>NA</v>
      </c>
      <c r="G19" s="22" t="str">
        <f t="shared" si="1"/>
        <v/>
      </c>
      <c r="H19" s="22" t="str">
        <f t="shared" si="2"/>
        <v/>
      </c>
      <c r="I19" s="22" t="str">
        <f t="shared" si="3"/>
        <v/>
      </c>
      <c r="J19" s="22" t="str">
        <f t="shared" si="4"/>
        <v/>
      </c>
      <c r="K19" s="14"/>
    </row>
    <row r="20" spans="2:11" ht="43.5">
      <c r="B20" s="22" t="s">
        <v>448</v>
      </c>
      <c r="C20" s="23" t="str">
        <f t="shared" si="5"/>
        <v>Not Applicable</v>
      </c>
      <c r="D20" s="23" t="s">
        <v>578</v>
      </c>
      <c r="E20" s="22" t="s">
        <v>926</v>
      </c>
      <c r="F20" s="22" t="str">
        <f t="shared" si="0"/>
        <v>NA</v>
      </c>
      <c r="G20" s="22" t="str">
        <f t="shared" si="1"/>
        <v/>
      </c>
      <c r="H20" s="22" t="str">
        <f t="shared" si="2"/>
        <v/>
      </c>
      <c r="I20" s="22" t="str">
        <f t="shared" si="3"/>
        <v/>
      </c>
      <c r="J20" s="22" t="str">
        <f t="shared" si="4"/>
        <v/>
      </c>
      <c r="K20" s="14"/>
    </row>
    <row r="21" spans="2:11" ht="43.5">
      <c r="B21" s="22" t="s">
        <v>449</v>
      </c>
      <c r="C21" s="23" t="str">
        <f t="shared" si="5"/>
        <v>Not Applicable</v>
      </c>
      <c r="D21" s="23" t="s">
        <v>580</v>
      </c>
      <c r="E21" s="22" t="s">
        <v>927</v>
      </c>
      <c r="F21" s="22" t="str">
        <f t="shared" si="0"/>
        <v>NA</v>
      </c>
      <c r="G21" s="22" t="str">
        <f t="shared" si="1"/>
        <v/>
      </c>
      <c r="H21" s="22" t="str">
        <f t="shared" si="2"/>
        <v/>
      </c>
      <c r="I21" s="22" t="str">
        <f t="shared" si="3"/>
        <v/>
      </c>
      <c r="J21" s="22" t="str">
        <f t="shared" si="4"/>
        <v/>
      </c>
      <c r="K21" s="14"/>
    </row>
    <row r="22" spans="2:11" ht="43.5">
      <c r="B22" s="22" t="s">
        <v>450</v>
      </c>
      <c r="C22" s="23" t="str">
        <f t="shared" si="5"/>
        <v>Not Applicable</v>
      </c>
      <c r="D22" s="23" t="s">
        <v>580</v>
      </c>
      <c r="E22" s="22" t="s">
        <v>928</v>
      </c>
      <c r="F22" s="22" t="str">
        <f t="shared" si="0"/>
        <v>NA</v>
      </c>
      <c r="G22" s="22" t="str">
        <f t="shared" si="1"/>
        <v/>
      </c>
      <c r="H22" s="22" t="str">
        <f t="shared" si="2"/>
        <v/>
      </c>
      <c r="I22" s="22" t="str">
        <f t="shared" si="3"/>
        <v/>
      </c>
      <c r="J22" s="22" t="str">
        <f t="shared" si="4"/>
        <v/>
      </c>
      <c r="K22" s="14"/>
    </row>
    <row r="23" spans="2:11" ht="43.5">
      <c r="B23" s="22" t="s">
        <v>451</v>
      </c>
      <c r="C23" s="23" t="str">
        <f t="shared" si="5"/>
        <v>Not Applicable</v>
      </c>
      <c r="D23" s="23" t="s">
        <v>578</v>
      </c>
      <c r="E23" s="22" t="s">
        <v>929</v>
      </c>
      <c r="F23" s="22" t="str">
        <f t="shared" si="0"/>
        <v>NA</v>
      </c>
      <c r="G23" s="22" t="str">
        <f t="shared" si="1"/>
        <v/>
      </c>
      <c r="H23" s="22" t="str">
        <f t="shared" si="2"/>
        <v/>
      </c>
      <c r="I23" s="22" t="str">
        <f t="shared" si="3"/>
        <v/>
      </c>
      <c r="J23" s="22" t="str">
        <f t="shared" si="4"/>
        <v/>
      </c>
      <c r="K23" s="14"/>
    </row>
    <row r="24" spans="2:11" ht="58">
      <c r="B24" s="22" t="s">
        <v>452</v>
      </c>
      <c r="C24" s="23" t="str">
        <f t="shared" si="5"/>
        <v>Not Applicable</v>
      </c>
      <c r="D24" s="23" t="s">
        <v>578</v>
      </c>
      <c r="E24" s="22" t="s">
        <v>930</v>
      </c>
      <c r="F24" s="22" t="str">
        <f t="shared" si="0"/>
        <v>NA</v>
      </c>
      <c r="G24" s="22" t="str">
        <f t="shared" si="1"/>
        <v/>
      </c>
      <c r="H24" s="22" t="str">
        <f t="shared" si="2"/>
        <v/>
      </c>
      <c r="I24" s="22" t="str">
        <f t="shared" si="3"/>
        <v/>
      </c>
      <c r="J24" s="22" t="str">
        <f t="shared" si="4"/>
        <v/>
      </c>
      <c r="K24" s="14"/>
    </row>
    <row r="25" spans="2:11" ht="43.5">
      <c r="B25" s="22" t="s">
        <v>453</v>
      </c>
      <c r="C25" s="23" t="str">
        <f t="shared" si="5"/>
        <v>Not Applicable</v>
      </c>
      <c r="D25" s="23" t="s">
        <v>578</v>
      </c>
      <c r="E25" s="22" t="s">
        <v>900</v>
      </c>
      <c r="F25" s="22" t="str">
        <f t="shared" si="0"/>
        <v>NA</v>
      </c>
      <c r="G25" s="22" t="str">
        <f t="shared" si="1"/>
        <v/>
      </c>
      <c r="H25" s="22" t="str">
        <f t="shared" si="2"/>
        <v/>
      </c>
      <c r="I25" s="22" t="str">
        <f t="shared" si="3"/>
        <v/>
      </c>
      <c r="J25" s="22" t="str">
        <f t="shared" si="4"/>
        <v/>
      </c>
      <c r="K25" s="14"/>
    </row>
    <row r="26" spans="2:11" ht="58">
      <c r="B26" s="22" t="s">
        <v>454</v>
      </c>
      <c r="C26" s="23" t="str">
        <f t="shared" si="5"/>
        <v>Not Applicable</v>
      </c>
      <c r="D26" s="23" t="s">
        <v>580</v>
      </c>
      <c r="E26" s="22" t="s">
        <v>931</v>
      </c>
      <c r="F26" s="22" t="str">
        <f t="shared" si="0"/>
        <v>NA</v>
      </c>
      <c r="G26" s="22" t="str">
        <f t="shared" si="1"/>
        <v/>
      </c>
      <c r="H26" s="22" t="str">
        <f t="shared" si="2"/>
        <v/>
      </c>
      <c r="I26" s="22" t="str">
        <f t="shared" si="3"/>
        <v/>
      </c>
      <c r="J26" s="22" t="str">
        <f t="shared" si="4"/>
        <v/>
      </c>
      <c r="K26" s="14"/>
    </row>
    <row r="27" spans="2:11" ht="29">
      <c r="B27" s="22" t="s">
        <v>455</v>
      </c>
      <c r="C27" s="23" t="str">
        <f t="shared" si="5"/>
        <v>Not Applicable</v>
      </c>
      <c r="D27" s="23" t="s">
        <v>580</v>
      </c>
      <c r="E27" s="22" t="s">
        <v>932</v>
      </c>
      <c r="F27" s="22" t="str">
        <f t="shared" si="0"/>
        <v>NA</v>
      </c>
      <c r="G27" s="22" t="str">
        <f t="shared" si="1"/>
        <v/>
      </c>
      <c r="H27" s="22" t="str">
        <f t="shared" si="2"/>
        <v/>
      </c>
      <c r="I27" s="22" t="str">
        <f t="shared" si="3"/>
        <v/>
      </c>
      <c r="J27" s="22" t="str">
        <f t="shared" si="4"/>
        <v/>
      </c>
      <c r="K27" s="14"/>
    </row>
    <row r="28" spans="2:11" ht="43.5">
      <c r="B28" s="22" t="s">
        <v>456</v>
      </c>
      <c r="C28" s="23" t="str">
        <f t="shared" si="5"/>
        <v>Not Applicable</v>
      </c>
      <c r="D28" s="23" t="s">
        <v>580</v>
      </c>
      <c r="E28" s="22" t="s">
        <v>933</v>
      </c>
      <c r="F28" s="22" t="str">
        <f t="shared" si="0"/>
        <v>NA</v>
      </c>
      <c r="G28" s="22" t="str">
        <f t="shared" si="1"/>
        <v/>
      </c>
      <c r="H28" s="22" t="str">
        <f t="shared" si="2"/>
        <v/>
      </c>
      <c r="I28" s="22" t="str">
        <f t="shared" si="3"/>
        <v/>
      </c>
      <c r="J28" s="22" t="str">
        <f t="shared" si="4"/>
        <v/>
      </c>
      <c r="K28" s="14"/>
    </row>
    <row r="29" spans="2:11" ht="43.5">
      <c r="B29" s="22" t="s">
        <v>457</v>
      </c>
      <c r="C29" s="23" t="str">
        <f t="shared" si="5"/>
        <v>Not Applicable</v>
      </c>
      <c r="D29" s="23" t="s">
        <v>580</v>
      </c>
      <c r="E29" s="22" t="s">
        <v>934</v>
      </c>
      <c r="F29" s="22" t="str">
        <f t="shared" si="0"/>
        <v>NA</v>
      </c>
      <c r="G29" s="22" t="str">
        <f t="shared" si="1"/>
        <v/>
      </c>
      <c r="H29" s="22" t="str">
        <f t="shared" si="2"/>
        <v/>
      </c>
      <c r="I29" s="22" t="str">
        <f t="shared" si="3"/>
        <v/>
      </c>
      <c r="J29" s="22" t="str">
        <f t="shared" si="4"/>
        <v/>
      </c>
      <c r="K29" s="14"/>
    </row>
    <row r="30" spans="2:11" ht="58">
      <c r="B30" s="22" t="s">
        <v>458</v>
      </c>
      <c r="C30" s="23" t="str">
        <f t="shared" si="5"/>
        <v>Not Applicable</v>
      </c>
      <c r="D30" s="23" t="s">
        <v>578</v>
      </c>
      <c r="E30" s="22" t="s">
        <v>935</v>
      </c>
      <c r="F30" s="22" t="str">
        <f t="shared" si="0"/>
        <v>NA</v>
      </c>
      <c r="G30" s="22" t="str">
        <f t="shared" si="1"/>
        <v/>
      </c>
      <c r="H30" s="22" t="str">
        <f t="shared" si="2"/>
        <v/>
      </c>
      <c r="I30" s="22" t="str">
        <f t="shared" si="3"/>
        <v/>
      </c>
      <c r="J30" s="22" t="str">
        <f t="shared" si="4"/>
        <v/>
      </c>
      <c r="K30" s="14"/>
    </row>
    <row r="31" spans="2:11" ht="43.5">
      <c r="B31" s="22" t="s">
        <v>459</v>
      </c>
      <c r="C31" s="23" t="str">
        <f t="shared" si="5"/>
        <v>Not Applicable</v>
      </c>
      <c r="D31" s="23" t="s">
        <v>580</v>
      </c>
      <c r="E31" s="22" t="s">
        <v>936</v>
      </c>
      <c r="F31" s="22" t="str">
        <f t="shared" si="0"/>
        <v>NA</v>
      </c>
      <c r="G31" s="22" t="str">
        <f t="shared" si="1"/>
        <v/>
      </c>
      <c r="H31" s="22" t="str">
        <f t="shared" si="2"/>
        <v/>
      </c>
      <c r="I31" s="22" t="str">
        <f t="shared" si="3"/>
        <v/>
      </c>
      <c r="J31" s="22" t="str">
        <f t="shared" si="4"/>
        <v/>
      </c>
      <c r="K31" s="14"/>
    </row>
    <row r="32" spans="2:11" ht="29">
      <c r="B32" s="22" t="s">
        <v>460</v>
      </c>
      <c r="C32" s="23" t="str">
        <f t="shared" si="5"/>
        <v>Not Applicable</v>
      </c>
      <c r="D32" s="23" t="s">
        <v>578</v>
      </c>
      <c r="E32" s="22" t="s">
        <v>937</v>
      </c>
      <c r="F32" s="22" t="str">
        <f t="shared" si="0"/>
        <v>NA</v>
      </c>
      <c r="G32" s="22" t="str">
        <f t="shared" si="1"/>
        <v/>
      </c>
      <c r="H32" s="22" t="str">
        <f t="shared" si="2"/>
        <v/>
      </c>
      <c r="I32" s="22" t="str">
        <f t="shared" si="3"/>
        <v/>
      </c>
      <c r="J32" s="22" t="str">
        <f t="shared" si="4"/>
        <v/>
      </c>
      <c r="K32" s="14"/>
    </row>
    <row r="33" spans="2:11" ht="29">
      <c r="B33" s="22" t="s">
        <v>461</v>
      </c>
      <c r="C33" s="23" t="str">
        <f t="shared" si="5"/>
        <v>Not Applicable</v>
      </c>
      <c r="D33" s="23" t="s">
        <v>578</v>
      </c>
      <c r="E33" s="22" t="s">
        <v>938</v>
      </c>
      <c r="F33" s="22" t="str">
        <f t="shared" si="0"/>
        <v>NA</v>
      </c>
      <c r="G33" s="22" t="str">
        <f>IF(F33="not comply","Gaps to be stated here","")</f>
        <v/>
      </c>
      <c r="H33" s="22" t="str">
        <f t="shared" si="2"/>
        <v/>
      </c>
      <c r="I33" s="22" t="str">
        <f t="shared" si="3"/>
        <v/>
      </c>
      <c r="J33" s="22" t="str">
        <f t="shared" si="4"/>
        <v/>
      </c>
      <c r="K33" s="14"/>
    </row>
    <row r="34" spans="2:11" ht="43.5">
      <c r="B34" s="22" t="s">
        <v>462</v>
      </c>
      <c r="C34" s="23" t="str">
        <f t="shared" si="5"/>
        <v>Not Applicable</v>
      </c>
      <c r="D34" s="23" t="s">
        <v>578</v>
      </c>
      <c r="E34" s="22" t="s">
        <v>939</v>
      </c>
      <c r="F34" s="22" t="str">
        <f t="shared" si="0"/>
        <v>NA</v>
      </c>
      <c r="G34" s="22" t="str">
        <f>IF(F34="not comply","Gaps to be stated here","")</f>
        <v/>
      </c>
      <c r="H34" s="22" t="str">
        <f t="shared" si="2"/>
        <v/>
      </c>
      <c r="I34" s="22" t="str">
        <f t="shared" si="3"/>
        <v/>
      </c>
      <c r="J34" s="22" t="str">
        <f t="shared" si="4"/>
        <v/>
      </c>
      <c r="K34" s="14"/>
    </row>
  </sheetData>
  <conditionalFormatting sqref="C1:C1048576">
    <cfRule type="containsText" dxfId="39" priority="11" operator="containsText" text="Not Applicable">
      <formula>NOT(ISERROR(SEARCH("Not Applicable",C1)))</formula>
    </cfRule>
    <cfRule type="containsText" dxfId="38" priority="12" operator="containsText" text="Applicable">
      <formula>NOT(ISERROR(SEARCH("Applicable",C1)))</formula>
    </cfRule>
  </conditionalFormatting>
  <conditionalFormatting sqref="F4:F50">
    <cfRule type="containsText" dxfId="37" priority="7" operator="containsText" text="Not">
      <formula>NOT(ISERROR(SEARCH("Not",F4)))</formula>
    </cfRule>
    <cfRule type="containsText" dxfId="36" priority="8" operator="containsText" text="Comply">
      <formula>NOT(ISERROR(SEARCH("Comply",F4)))</formula>
    </cfRule>
  </conditionalFormatting>
  <conditionalFormatting sqref="G4:G34">
    <cfRule type="containsText" dxfId="35" priority="4" operator="containsText" text="Gaps to be stated here">
      <formula>NOT(ISERROR(SEARCH("Gaps to be stated here",G4)))</formula>
    </cfRule>
  </conditionalFormatting>
  <conditionalFormatting sqref="H4:H34">
    <cfRule type="containsText" dxfId="34" priority="5" operator="containsText" text="action to be stated here">
      <formula>NOT(ISERROR(SEARCH("action to be stated here",H4)))</formula>
    </cfRule>
  </conditionalFormatting>
  <conditionalFormatting sqref="I4:I34">
    <cfRule type="containsText" dxfId="33" priority="3" operator="containsText" text="Name of PIC to be stated here">
      <formula>NOT(ISERROR(SEARCH("Name of PIC to be stated here",I4)))</formula>
    </cfRule>
  </conditionalFormatting>
  <conditionalFormatting sqref="J4:J34">
    <cfRule type="containsText" dxfId="32" priority="2" operator="containsText" text="action date to be stated here">
      <formula>NOT(ISERROR(SEARCH("action date to be stated here",J4)))</formula>
    </cfRule>
  </conditionalFormatting>
  <conditionalFormatting sqref="K3">
    <cfRule type="expression" dxfId="31" priority="1">
      <formula>$K$2&gt;0</formula>
    </cfRule>
  </conditionalFormatting>
  <conditionalFormatting sqref="K4:K34">
    <cfRule type="expression" dxfId="3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DB159C96-0AC8-42DC-B574-ABD5739672A4}">
          <x14:formula1>
            <xm:f>'back-data'!$B$4:$B$6</xm:f>
          </x14:formula1>
          <xm:sqref>D4:D34</xm:sqref>
        </x14:dataValidation>
        <x14:dataValidation type="list" allowBlank="1" showInputMessage="1" showErrorMessage="1" xr:uid="{A4237710-42A2-4DEF-AA0E-953301548BE7}">
          <x14:formula1>
            <xm:f>'back-data'!$B$13:$B$15</xm:f>
          </x14:formula1>
          <xm:sqref>F4:F34</xm:sqref>
        </x14:dataValidation>
        <x14:dataValidation type="list" allowBlank="1" showInputMessage="1" showErrorMessage="1" xr:uid="{4D494C2B-905D-4EEA-A3BE-AE0EC4E78BF5}">
          <x14:formula1>
            <xm:f>Action_Tracker_Data!$Y$4:$Y$13</xm:f>
          </x14:formula1>
          <xm:sqref>K4:K34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43DB4-6747-4AF7-B201-12CA769DD137}">
  <sheetPr>
    <tabColor rgb="FF600000"/>
  </sheetPr>
  <dimension ref="B1:K7"/>
  <sheetViews>
    <sheetView showGridLines="0" showRowColHeaders="0" zoomScale="115" zoomScaleNormal="115" workbookViewId="0"/>
  </sheetViews>
  <sheetFormatPr defaultRowHeight="14.5"/>
  <cols>
    <col min="1" max="1" width="27.81640625" style="8" customWidth="1"/>
    <col min="2" max="2" width="45.7265625" style="8" customWidth="1"/>
    <col min="3" max="3" width="16.36328125" style="8" customWidth="1"/>
    <col min="4" max="4" width="25.6328125" style="8" customWidth="1"/>
    <col min="5" max="5" width="26.2695312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style="8" customWidth="1"/>
    <col min="12" max="16384" width="8.7265625" style="8"/>
  </cols>
  <sheetData>
    <row r="1" spans="2:11" customFormat="1" ht="16">
      <c r="B1" s="10" t="s">
        <v>1345</v>
      </c>
      <c r="F1" s="15"/>
      <c r="G1" s="8"/>
      <c r="H1" s="8"/>
      <c r="I1" s="8"/>
      <c r="J1" s="8"/>
    </row>
    <row r="2" spans="2:11" customFormat="1">
      <c r="F2" s="15"/>
      <c r="G2" s="8"/>
      <c r="H2" s="8"/>
      <c r="I2" s="8"/>
      <c r="J2" s="8"/>
      <c r="K2" s="132">
        <f>COUNTIF(F4:F29,"Not Comply")</f>
        <v>0</v>
      </c>
    </row>
    <row r="3" spans="2:11" ht="29.5" thickBot="1">
      <c r="B3" s="12" t="s">
        <v>115</v>
      </c>
      <c r="C3" s="12" t="s">
        <v>48</v>
      </c>
      <c r="D3" s="12" t="s">
        <v>57</v>
      </c>
      <c r="E3" s="21" t="s">
        <v>1812</v>
      </c>
      <c r="F3" s="21" t="s">
        <v>1410</v>
      </c>
      <c r="G3" s="21" t="s">
        <v>1845</v>
      </c>
      <c r="H3" s="21" t="s">
        <v>1846</v>
      </c>
      <c r="I3" s="21" t="s">
        <v>1847</v>
      </c>
      <c r="J3" s="21" t="s">
        <v>1848</v>
      </c>
      <c r="K3" s="132" t="s">
        <v>2036</v>
      </c>
    </row>
    <row r="4" spans="2:11" ht="44" thickTop="1">
      <c r="B4" s="22" t="s">
        <v>1304</v>
      </c>
      <c r="C4" s="23" t="str">
        <f>IF(Home!B69=TRUE,"Applicable","Not Applicable")</f>
        <v>Not Applicable</v>
      </c>
      <c r="D4" s="22" t="s">
        <v>578</v>
      </c>
      <c r="E4" s="22" t="s">
        <v>1300</v>
      </c>
      <c r="F4" s="22" t="str">
        <f>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1305</v>
      </c>
      <c r="C5" s="23" t="str">
        <f>C4</f>
        <v>Not Applicable</v>
      </c>
      <c r="D5" s="22" t="s">
        <v>580</v>
      </c>
      <c r="E5" s="22" t="s">
        <v>1301</v>
      </c>
      <c r="F5" s="22" t="str">
        <f>IF(C5="Not Applicable","NA","Comply")</f>
        <v>NA</v>
      </c>
      <c r="G5" s="22" t="str">
        <f t="shared" ref="G5:G7" si="0">IF(F5="not comply","Gaps to be stated here","")</f>
        <v/>
      </c>
      <c r="H5" s="22" t="str">
        <f t="shared" ref="H5:H7" si="1">IF(F5="not comply","action to be stated here","")</f>
        <v/>
      </c>
      <c r="I5" s="22" t="str">
        <f t="shared" ref="I5:I7" si="2">IF(F5="not comply","Name of PIC to be stated here","")</f>
        <v/>
      </c>
      <c r="J5" s="22" t="str">
        <f t="shared" ref="J5:J7" si="3">IF(F5="not comply","action date to be stated here","")</f>
        <v/>
      </c>
      <c r="K5" s="14"/>
    </row>
    <row r="6" spans="2:11" ht="58">
      <c r="B6" s="22" t="s">
        <v>1306</v>
      </c>
      <c r="C6" s="23" t="str">
        <f t="shared" ref="C6:C7" si="4">C5</f>
        <v>Not Applicable</v>
      </c>
      <c r="D6" s="22" t="s">
        <v>580</v>
      </c>
      <c r="E6" s="22" t="s">
        <v>1302</v>
      </c>
      <c r="F6" s="22" t="str">
        <f>IF(C6="Not Applicable","NA","Comply")</f>
        <v>NA</v>
      </c>
      <c r="G6" s="22" t="str">
        <f t="shared" si="0"/>
        <v/>
      </c>
      <c r="H6" s="22" t="str">
        <f t="shared" si="1"/>
        <v/>
      </c>
      <c r="I6" s="22" t="str">
        <f t="shared" si="2"/>
        <v/>
      </c>
      <c r="J6" s="22" t="str">
        <f t="shared" si="3"/>
        <v/>
      </c>
      <c r="K6" s="14"/>
    </row>
    <row r="7" spans="2:11" ht="58">
      <c r="B7" s="22" t="s">
        <v>1307</v>
      </c>
      <c r="C7" s="23" t="str">
        <f t="shared" si="4"/>
        <v>Not Applicable</v>
      </c>
      <c r="D7" s="22" t="s">
        <v>580</v>
      </c>
      <c r="E7" s="22" t="s">
        <v>1303</v>
      </c>
      <c r="F7" s="22" t="str">
        <f>IF(C7="Not Applicable","NA","Comply")</f>
        <v>NA</v>
      </c>
      <c r="G7" s="22" t="str">
        <f t="shared" si="0"/>
        <v/>
      </c>
      <c r="H7" s="22" t="str">
        <f t="shared" si="1"/>
        <v/>
      </c>
      <c r="I7" s="22" t="str">
        <f t="shared" si="2"/>
        <v/>
      </c>
      <c r="J7" s="22" t="str">
        <f t="shared" si="3"/>
        <v/>
      </c>
      <c r="K7" s="14"/>
    </row>
  </sheetData>
  <conditionalFormatting sqref="C4:C7">
    <cfRule type="containsText" dxfId="29" priority="14" operator="containsText" text="Applicable">
      <formula>NOT(ISERROR(SEARCH("Applicable",C4)))</formula>
    </cfRule>
  </conditionalFormatting>
  <conditionalFormatting sqref="C4:C70">
    <cfRule type="containsText" dxfId="28" priority="11" operator="containsText" text="Not Applicable">
      <formula>NOT(ISERROR(SEARCH("Not Applicable",C4)))</formula>
    </cfRule>
  </conditionalFormatting>
  <conditionalFormatting sqref="F4:F50">
    <cfRule type="containsText" dxfId="27" priority="7" operator="containsText" text="Not">
      <formula>NOT(ISERROR(SEARCH("Not",F4)))</formula>
    </cfRule>
    <cfRule type="containsText" dxfId="26" priority="8" operator="containsText" text="Comply">
      <formula>NOT(ISERROR(SEARCH("Comply",F4)))</formula>
    </cfRule>
  </conditionalFormatting>
  <conditionalFormatting sqref="G4:G7">
    <cfRule type="containsText" dxfId="25" priority="4" operator="containsText" text="Gaps to be stated here">
      <formula>NOT(ISERROR(SEARCH("Gaps to be stated here",G4)))</formula>
    </cfRule>
  </conditionalFormatting>
  <conditionalFormatting sqref="H4:H7">
    <cfRule type="containsText" dxfId="24" priority="5" operator="containsText" text="action to be stated here">
      <formula>NOT(ISERROR(SEARCH("action to be stated here",H4)))</formula>
    </cfRule>
  </conditionalFormatting>
  <conditionalFormatting sqref="I4:I7">
    <cfRule type="containsText" dxfId="23" priority="3" operator="containsText" text="Name of PIC to be stated here">
      <formula>NOT(ISERROR(SEARCH("Name of PIC to be stated here",I4)))</formula>
    </cfRule>
  </conditionalFormatting>
  <conditionalFormatting sqref="J4:J7">
    <cfRule type="containsText" dxfId="22" priority="2" operator="containsText" text="action date to be stated here">
      <formula>NOT(ISERROR(SEARCH("action date to be stated here",J4)))</formula>
    </cfRule>
  </conditionalFormatting>
  <conditionalFormatting sqref="K3">
    <cfRule type="expression" dxfId="21" priority="1">
      <formula>$K$2&gt;0</formula>
    </cfRule>
  </conditionalFormatting>
  <conditionalFormatting sqref="K4:K7">
    <cfRule type="expression" dxfId="2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6669843F-E0E8-47CD-AFBC-C81636118040}">
          <x14:formula1>
            <xm:f>'back-data'!$B$4:$B$6</xm:f>
          </x14:formula1>
          <xm:sqref>D4:D7</xm:sqref>
        </x14:dataValidation>
        <x14:dataValidation type="list" allowBlank="1" showInputMessage="1" showErrorMessage="1" xr:uid="{13103BF1-B99D-400E-8BBD-95DD263070A1}">
          <x14:formula1>
            <xm:f>'back-data'!$B$13:$B$15</xm:f>
          </x14:formula1>
          <xm:sqref>F4:F7</xm:sqref>
        </x14:dataValidation>
        <x14:dataValidation type="list" allowBlank="1" showInputMessage="1" showErrorMessage="1" xr:uid="{26330450-50C4-4075-9006-4C578A1BD6BC}">
          <x14:formula1>
            <xm:f>Action_Tracker_Data!$Z$4:$Z$13</xm:f>
          </x14:formula1>
          <xm:sqref>K4:K7</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78312-4A6A-46B1-852C-0BB15B58F13E}">
  <sheetPr>
    <tabColor rgb="FF600000"/>
  </sheetPr>
  <dimension ref="B1:K85"/>
  <sheetViews>
    <sheetView showRowColHeaders="0" zoomScaleNormal="100" workbookViewId="0"/>
  </sheetViews>
  <sheetFormatPr defaultRowHeight="14.5"/>
  <cols>
    <col min="1" max="1" width="27.81640625" customWidth="1"/>
    <col min="2" max="2" width="40.90625" style="8" customWidth="1"/>
    <col min="3" max="3" width="15" style="8" customWidth="1"/>
    <col min="4" max="5" width="26.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customWidth="1"/>
  </cols>
  <sheetData>
    <row r="1" spans="2:11" ht="16">
      <c r="B1" s="10" t="s">
        <v>2071</v>
      </c>
      <c r="F1" s="15"/>
    </row>
    <row r="2" spans="2:11">
      <c r="F2" s="15"/>
      <c r="K2" s="132">
        <f>COUNTIF(F4:F150,"Not Comply")</f>
        <v>0</v>
      </c>
    </row>
    <row r="3" spans="2:11" s="8" customFormat="1" ht="29.5" thickBot="1">
      <c r="B3" s="21" t="s">
        <v>115</v>
      </c>
      <c r="C3" s="21" t="s">
        <v>48</v>
      </c>
      <c r="D3" s="21" t="s">
        <v>57</v>
      </c>
      <c r="E3" s="21" t="s">
        <v>1812</v>
      </c>
      <c r="F3" s="21" t="s">
        <v>1410</v>
      </c>
      <c r="G3" s="21" t="s">
        <v>1845</v>
      </c>
      <c r="H3" s="21" t="s">
        <v>1846</v>
      </c>
      <c r="I3" s="21" t="s">
        <v>1847</v>
      </c>
      <c r="J3" s="21" t="s">
        <v>1848</v>
      </c>
      <c r="K3" s="132" t="s">
        <v>2036</v>
      </c>
    </row>
    <row r="4" spans="2:11" ht="73" thickTop="1">
      <c r="B4" s="32" t="s">
        <v>2072</v>
      </c>
      <c r="C4" s="29" t="str">
        <f>IF(OR(Home!B260=TRUE,Home!B261=TRUE),"Applicable","Not Applicable")</f>
        <v>Not Applicable</v>
      </c>
      <c r="D4" s="29" t="s">
        <v>580</v>
      </c>
      <c r="E4" s="32" t="s">
        <v>2154</v>
      </c>
      <c r="F4" s="22" t="str">
        <f t="shared" ref="F4:F67"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58">
      <c r="B5" s="22" t="s">
        <v>2073</v>
      </c>
      <c r="C5" s="23" t="str">
        <f>C4</f>
        <v>Not Applicable</v>
      </c>
      <c r="D5" s="23" t="s">
        <v>580</v>
      </c>
      <c r="E5" s="22" t="s">
        <v>2155</v>
      </c>
      <c r="F5" s="22" t="str">
        <f t="shared" si="0"/>
        <v>NA</v>
      </c>
      <c r="G5" s="22" t="str">
        <f t="shared" ref="G5:G68" si="1">IF(F5="not comply","Gaps to be stated here","")</f>
        <v/>
      </c>
      <c r="H5" s="22" t="str">
        <f t="shared" ref="H5:H68" si="2">IF(F5="not comply","action to be stated here","")</f>
        <v/>
      </c>
      <c r="I5" s="22" t="str">
        <f t="shared" ref="I5:I68" si="3">IF(F5="not comply","Name of PIC to be stated here","")</f>
        <v/>
      </c>
      <c r="J5" s="22" t="str">
        <f t="shared" ref="J5:J68" si="4">IF(F5="not comply","action date to be stated here","")</f>
        <v/>
      </c>
      <c r="K5" s="14"/>
    </row>
    <row r="6" spans="2:11" ht="72.5">
      <c r="B6" s="22" t="s">
        <v>2074</v>
      </c>
      <c r="C6" s="23" t="str">
        <f t="shared" ref="C6:C69" si="5">C5</f>
        <v>Not Applicable</v>
      </c>
      <c r="D6" s="23" t="s">
        <v>580</v>
      </c>
      <c r="E6" s="22" t="s">
        <v>2156</v>
      </c>
      <c r="F6" s="22" t="str">
        <f t="shared" si="0"/>
        <v>NA</v>
      </c>
      <c r="G6" s="22" t="str">
        <f t="shared" si="1"/>
        <v/>
      </c>
      <c r="H6" s="22" t="str">
        <f t="shared" si="2"/>
        <v/>
      </c>
      <c r="I6" s="22" t="str">
        <f t="shared" si="3"/>
        <v/>
      </c>
      <c r="J6" s="22" t="str">
        <f t="shared" si="4"/>
        <v/>
      </c>
      <c r="K6" s="14"/>
    </row>
    <row r="7" spans="2:11" ht="72.5">
      <c r="B7" s="22" t="s">
        <v>2075</v>
      </c>
      <c r="C7" s="23" t="str">
        <f t="shared" si="5"/>
        <v>Not Applicable</v>
      </c>
      <c r="D7" s="23" t="s">
        <v>580</v>
      </c>
      <c r="E7" s="22" t="s">
        <v>2157</v>
      </c>
      <c r="F7" s="22" t="str">
        <f t="shared" si="0"/>
        <v>NA</v>
      </c>
      <c r="G7" s="22" t="str">
        <f t="shared" si="1"/>
        <v/>
      </c>
      <c r="H7" s="22" t="str">
        <f t="shared" si="2"/>
        <v/>
      </c>
      <c r="I7" s="22" t="str">
        <f t="shared" si="3"/>
        <v/>
      </c>
      <c r="J7" s="22" t="str">
        <f t="shared" si="4"/>
        <v/>
      </c>
      <c r="K7" s="14"/>
    </row>
    <row r="8" spans="2:11" ht="58">
      <c r="B8" s="22" t="s">
        <v>2076</v>
      </c>
      <c r="C8" s="23" t="str">
        <f t="shared" si="5"/>
        <v>Not Applicable</v>
      </c>
      <c r="D8" s="23" t="s">
        <v>580</v>
      </c>
      <c r="E8" s="22" t="s">
        <v>2158</v>
      </c>
      <c r="F8" s="22" t="str">
        <f t="shared" si="0"/>
        <v>NA</v>
      </c>
      <c r="G8" s="22" t="str">
        <f t="shared" si="1"/>
        <v/>
      </c>
      <c r="H8" s="22" t="str">
        <f t="shared" si="2"/>
        <v/>
      </c>
      <c r="I8" s="22" t="str">
        <f t="shared" si="3"/>
        <v/>
      </c>
      <c r="J8" s="22" t="str">
        <f t="shared" si="4"/>
        <v/>
      </c>
      <c r="K8" s="14"/>
    </row>
    <row r="9" spans="2:11" ht="72.5">
      <c r="B9" s="22" t="s">
        <v>2077</v>
      </c>
      <c r="C9" s="23" t="str">
        <f t="shared" si="5"/>
        <v>Not Applicable</v>
      </c>
      <c r="D9" s="23" t="s">
        <v>580</v>
      </c>
      <c r="E9" s="22" t="s">
        <v>2159</v>
      </c>
      <c r="F9" s="22" t="str">
        <f t="shared" si="0"/>
        <v>NA</v>
      </c>
      <c r="G9" s="22" t="str">
        <f t="shared" si="1"/>
        <v/>
      </c>
      <c r="H9" s="22" t="str">
        <f t="shared" si="2"/>
        <v/>
      </c>
      <c r="I9" s="22" t="str">
        <f t="shared" si="3"/>
        <v/>
      </c>
      <c r="J9" s="22" t="str">
        <f t="shared" si="4"/>
        <v/>
      </c>
      <c r="K9" s="14"/>
    </row>
    <row r="10" spans="2:11" ht="72.5">
      <c r="B10" s="22" t="s">
        <v>2078</v>
      </c>
      <c r="C10" s="23" t="str">
        <f t="shared" si="5"/>
        <v>Not Applicable</v>
      </c>
      <c r="D10" s="23" t="s">
        <v>580</v>
      </c>
      <c r="E10" s="22" t="s">
        <v>2160</v>
      </c>
      <c r="F10" s="22" t="str">
        <f t="shared" si="0"/>
        <v>NA</v>
      </c>
      <c r="G10" s="22" t="str">
        <f t="shared" si="1"/>
        <v/>
      </c>
      <c r="H10" s="22" t="str">
        <f t="shared" si="2"/>
        <v/>
      </c>
      <c r="I10" s="22" t="str">
        <f t="shared" si="3"/>
        <v/>
      </c>
      <c r="J10" s="22" t="str">
        <f t="shared" si="4"/>
        <v/>
      </c>
      <c r="K10" s="14"/>
    </row>
    <row r="11" spans="2:11" ht="87">
      <c r="B11" s="22" t="s">
        <v>2079</v>
      </c>
      <c r="C11" s="23" t="str">
        <f t="shared" si="5"/>
        <v>Not Applicable</v>
      </c>
      <c r="D11" s="23" t="s">
        <v>580</v>
      </c>
      <c r="E11" s="22" t="s">
        <v>2161</v>
      </c>
      <c r="F11" s="22" t="str">
        <f t="shared" si="0"/>
        <v>NA</v>
      </c>
      <c r="G11" s="22" t="str">
        <f t="shared" si="1"/>
        <v/>
      </c>
      <c r="H11" s="22" t="str">
        <f t="shared" si="2"/>
        <v/>
      </c>
      <c r="I11" s="22" t="str">
        <f t="shared" si="3"/>
        <v/>
      </c>
      <c r="J11" s="22" t="str">
        <f t="shared" si="4"/>
        <v/>
      </c>
      <c r="K11" s="14"/>
    </row>
    <row r="12" spans="2:11" ht="72.5">
      <c r="B12" s="22" t="s">
        <v>2080</v>
      </c>
      <c r="C12" s="23" t="str">
        <f t="shared" si="5"/>
        <v>Not Applicable</v>
      </c>
      <c r="D12" s="23" t="s">
        <v>580</v>
      </c>
      <c r="E12" s="22" t="s">
        <v>2162</v>
      </c>
      <c r="F12" s="22" t="str">
        <f t="shared" si="0"/>
        <v>NA</v>
      </c>
      <c r="G12" s="22" t="str">
        <f t="shared" si="1"/>
        <v/>
      </c>
      <c r="H12" s="22" t="str">
        <f t="shared" si="2"/>
        <v/>
      </c>
      <c r="I12" s="22" t="str">
        <f t="shared" si="3"/>
        <v/>
      </c>
      <c r="J12" s="22" t="str">
        <f t="shared" si="4"/>
        <v/>
      </c>
      <c r="K12" s="14"/>
    </row>
    <row r="13" spans="2:11" ht="72.5">
      <c r="B13" s="22" t="s">
        <v>2081</v>
      </c>
      <c r="C13" s="23" t="str">
        <f t="shared" si="5"/>
        <v>Not Applicable</v>
      </c>
      <c r="D13" s="23" t="s">
        <v>580</v>
      </c>
      <c r="E13" s="22" t="s">
        <v>2163</v>
      </c>
      <c r="F13" s="22" t="str">
        <f t="shared" si="0"/>
        <v>NA</v>
      </c>
      <c r="G13" s="22" t="str">
        <f t="shared" si="1"/>
        <v/>
      </c>
      <c r="H13" s="22" t="str">
        <f t="shared" si="2"/>
        <v/>
      </c>
      <c r="I13" s="22" t="str">
        <f t="shared" si="3"/>
        <v/>
      </c>
      <c r="J13" s="22" t="str">
        <f t="shared" si="4"/>
        <v/>
      </c>
      <c r="K13" s="14"/>
    </row>
    <row r="14" spans="2:11" ht="87">
      <c r="B14" s="22" t="s">
        <v>2082</v>
      </c>
      <c r="C14" s="23" t="str">
        <f t="shared" si="5"/>
        <v>Not Applicable</v>
      </c>
      <c r="D14" s="23" t="s">
        <v>579</v>
      </c>
      <c r="E14" s="22" t="s">
        <v>2164</v>
      </c>
      <c r="F14" s="22" t="str">
        <f t="shared" si="0"/>
        <v>NA</v>
      </c>
      <c r="G14" s="22" t="str">
        <f t="shared" si="1"/>
        <v/>
      </c>
      <c r="H14" s="22" t="str">
        <f t="shared" si="2"/>
        <v/>
      </c>
      <c r="I14" s="22" t="str">
        <f t="shared" si="3"/>
        <v/>
      </c>
      <c r="J14" s="22" t="str">
        <f t="shared" si="4"/>
        <v/>
      </c>
      <c r="K14" s="14"/>
    </row>
    <row r="15" spans="2:11" ht="72.5">
      <c r="B15" s="22" t="s">
        <v>2083</v>
      </c>
      <c r="C15" s="23" t="str">
        <f t="shared" si="5"/>
        <v>Not Applicable</v>
      </c>
      <c r="D15" s="23" t="s">
        <v>580</v>
      </c>
      <c r="E15" s="22" t="s">
        <v>2165</v>
      </c>
      <c r="F15" s="22" t="str">
        <f t="shared" si="0"/>
        <v>NA</v>
      </c>
      <c r="G15" s="22" t="str">
        <f t="shared" si="1"/>
        <v/>
      </c>
      <c r="H15" s="22" t="str">
        <f t="shared" si="2"/>
        <v/>
      </c>
      <c r="I15" s="22" t="str">
        <f t="shared" si="3"/>
        <v/>
      </c>
      <c r="J15" s="22" t="str">
        <f t="shared" si="4"/>
        <v/>
      </c>
      <c r="K15" s="14"/>
    </row>
    <row r="16" spans="2:11" ht="101.5">
      <c r="B16" s="22" t="s">
        <v>2084</v>
      </c>
      <c r="C16" s="23" t="str">
        <f t="shared" si="5"/>
        <v>Not Applicable</v>
      </c>
      <c r="D16" s="23" t="s">
        <v>580</v>
      </c>
      <c r="E16" s="22" t="s">
        <v>2166</v>
      </c>
      <c r="F16" s="22" t="str">
        <f t="shared" si="0"/>
        <v>NA</v>
      </c>
      <c r="G16" s="22" t="str">
        <f t="shared" si="1"/>
        <v/>
      </c>
      <c r="H16" s="22" t="str">
        <f t="shared" si="2"/>
        <v/>
      </c>
      <c r="I16" s="22" t="str">
        <f t="shared" si="3"/>
        <v/>
      </c>
      <c r="J16" s="22" t="str">
        <f t="shared" si="4"/>
        <v/>
      </c>
      <c r="K16" s="14"/>
    </row>
    <row r="17" spans="2:11" ht="58">
      <c r="B17" s="22" t="s">
        <v>2085</v>
      </c>
      <c r="C17" s="23" t="str">
        <f t="shared" si="5"/>
        <v>Not Applicable</v>
      </c>
      <c r="D17" s="23" t="s">
        <v>579</v>
      </c>
      <c r="E17" s="22" t="s">
        <v>2167</v>
      </c>
      <c r="F17" s="22" t="str">
        <f t="shared" si="0"/>
        <v>NA</v>
      </c>
      <c r="G17" s="22" t="str">
        <f t="shared" si="1"/>
        <v/>
      </c>
      <c r="H17" s="22" t="str">
        <f t="shared" si="2"/>
        <v/>
      </c>
      <c r="I17" s="22" t="str">
        <f t="shared" si="3"/>
        <v/>
      </c>
      <c r="J17" s="22" t="str">
        <f t="shared" si="4"/>
        <v/>
      </c>
      <c r="K17" s="14"/>
    </row>
    <row r="18" spans="2:11" ht="58">
      <c r="B18" s="22" t="s">
        <v>2086</v>
      </c>
      <c r="C18" s="23" t="str">
        <f t="shared" si="5"/>
        <v>Not Applicable</v>
      </c>
      <c r="D18" s="23" t="s">
        <v>579</v>
      </c>
      <c r="E18" s="22" t="s">
        <v>2168</v>
      </c>
      <c r="F18" s="22" t="str">
        <f t="shared" si="0"/>
        <v>NA</v>
      </c>
      <c r="G18" s="22" t="str">
        <f t="shared" si="1"/>
        <v/>
      </c>
      <c r="H18" s="22" t="str">
        <f t="shared" si="2"/>
        <v/>
      </c>
      <c r="I18" s="22" t="str">
        <f t="shared" si="3"/>
        <v/>
      </c>
      <c r="J18" s="22" t="str">
        <f t="shared" si="4"/>
        <v/>
      </c>
      <c r="K18" s="14"/>
    </row>
    <row r="19" spans="2:11" ht="72.5">
      <c r="B19" s="22" t="s">
        <v>2087</v>
      </c>
      <c r="C19" s="23" t="str">
        <f t="shared" si="5"/>
        <v>Not Applicable</v>
      </c>
      <c r="D19" s="23" t="s">
        <v>580</v>
      </c>
      <c r="E19" s="22" t="s">
        <v>2169</v>
      </c>
      <c r="F19" s="22" t="str">
        <f t="shared" si="0"/>
        <v>NA</v>
      </c>
      <c r="G19" s="22" t="str">
        <f t="shared" si="1"/>
        <v/>
      </c>
      <c r="H19" s="22" t="str">
        <f t="shared" si="2"/>
        <v/>
      </c>
      <c r="I19" s="22" t="str">
        <f t="shared" si="3"/>
        <v/>
      </c>
      <c r="J19" s="22" t="str">
        <f t="shared" si="4"/>
        <v/>
      </c>
      <c r="K19" s="14"/>
    </row>
    <row r="20" spans="2:11" ht="58">
      <c r="B20" s="22" t="s">
        <v>2088</v>
      </c>
      <c r="C20" s="23" t="str">
        <f t="shared" si="5"/>
        <v>Not Applicable</v>
      </c>
      <c r="D20" s="23" t="s">
        <v>579</v>
      </c>
      <c r="E20" s="22" t="s">
        <v>2170</v>
      </c>
      <c r="F20" s="22" t="str">
        <f t="shared" si="0"/>
        <v>NA</v>
      </c>
      <c r="G20" s="22" t="str">
        <f t="shared" si="1"/>
        <v/>
      </c>
      <c r="H20" s="22" t="str">
        <f t="shared" si="2"/>
        <v/>
      </c>
      <c r="I20" s="22" t="str">
        <f t="shared" si="3"/>
        <v/>
      </c>
      <c r="J20" s="22" t="str">
        <f t="shared" si="4"/>
        <v/>
      </c>
      <c r="K20" s="14"/>
    </row>
    <row r="21" spans="2:11" ht="58">
      <c r="B21" s="22" t="s">
        <v>2089</v>
      </c>
      <c r="C21" s="23" t="str">
        <f t="shared" si="5"/>
        <v>Not Applicable</v>
      </c>
      <c r="D21" s="23" t="s">
        <v>580</v>
      </c>
      <c r="E21" s="22" t="s">
        <v>2171</v>
      </c>
      <c r="F21" s="22" t="str">
        <f t="shared" si="0"/>
        <v>NA</v>
      </c>
      <c r="G21" s="22" t="str">
        <f t="shared" si="1"/>
        <v/>
      </c>
      <c r="H21" s="22" t="str">
        <f t="shared" si="2"/>
        <v/>
      </c>
      <c r="I21" s="22" t="str">
        <f t="shared" si="3"/>
        <v/>
      </c>
      <c r="J21" s="22" t="str">
        <f t="shared" si="4"/>
        <v/>
      </c>
      <c r="K21" s="14"/>
    </row>
    <row r="22" spans="2:11" ht="72.5">
      <c r="B22" s="22" t="s">
        <v>2090</v>
      </c>
      <c r="C22" s="23" t="str">
        <f t="shared" si="5"/>
        <v>Not Applicable</v>
      </c>
      <c r="D22" s="23" t="s">
        <v>579</v>
      </c>
      <c r="E22" s="22" t="s">
        <v>2172</v>
      </c>
      <c r="F22" s="22" t="str">
        <f t="shared" si="0"/>
        <v>NA</v>
      </c>
      <c r="G22" s="22" t="str">
        <f t="shared" si="1"/>
        <v/>
      </c>
      <c r="H22" s="22" t="str">
        <f t="shared" si="2"/>
        <v/>
      </c>
      <c r="I22" s="22" t="str">
        <f t="shared" si="3"/>
        <v/>
      </c>
      <c r="J22" s="22" t="str">
        <f t="shared" si="4"/>
        <v/>
      </c>
      <c r="K22" s="14"/>
    </row>
    <row r="23" spans="2:11" ht="72.5">
      <c r="B23" s="22" t="s">
        <v>2091</v>
      </c>
      <c r="C23" s="23" t="str">
        <f t="shared" si="5"/>
        <v>Not Applicable</v>
      </c>
      <c r="D23" s="23" t="s">
        <v>580</v>
      </c>
      <c r="E23" s="22" t="s">
        <v>2173</v>
      </c>
      <c r="F23" s="22" t="str">
        <f t="shared" si="0"/>
        <v>NA</v>
      </c>
      <c r="G23" s="22" t="str">
        <f t="shared" si="1"/>
        <v/>
      </c>
      <c r="H23" s="22" t="str">
        <f t="shared" si="2"/>
        <v/>
      </c>
      <c r="I23" s="22" t="str">
        <f t="shared" si="3"/>
        <v/>
      </c>
      <c r="J23" s="22" t="str">
        <f t="shared" si="4"/>
        <v/>
      </c>
      <c r="K23" s="14"/>
    </row>
    <row r="24" spans="2:11" ht="72.5">
      <c r="B24" s="22" t="s">
        <v>2092</v>
      </c>
      <c r="C24" s="23" t="str">
        <f t="shared" si="5"/>
        <v>Not Applicable</v>
      </c>
      <c r="D24" s="23" t="s">
        <v>580</v>
      </c>
      <c r="E24" s="22" t="s">
        <v>2174</v>
      </c>
      <c r="F24" s="22" t="str">
        <f t="shared" si="0"/>
        <v>NA</v>
      </c>
      <c r="G24" s="22" t="str">
        <f t="shared" si="1"/>
        <v/>
      </c>
      <c r="H24" s="22" t="str">
        <f t="shared" si="2"/>
        <v/>
      </c>
      <c r="I24" s="22" t="str">
        <f t="shared" si="3"/>
        <v/>
      </c>
      <c r="J24" s="22" t="str">
        <f t="shared" si="4"/>
        <v/>
      </c>
      <c r="K24" s="14"/>
    </row>
    <row r="25" spans="2:11" ht="72.5">
      <c r="B25" s="22" t="s">
        <v>2093</v>
      </c>
      <c r="C25" s="23" t="str">
        <f t="shared" si="5"/>
        <v>Not Applicable</v>
      </c>
      <c r="D25" s="23" t="s">
        <v>580</v>
      </c>
      <c r="E25" s="22" t="s">
        <v>2175</v>
      </c>
      <c r="F25" s="22" t="str">
        <f t="shared" si="0"/>
        <v>NA</v>
      </c>
      <c r="G25" s="22" t="str">
        <f t="shared" si="1"/>
        <v/>
      </c>
      <c r="H25" s="22" t="str">
        <f t="shared" si="2"/>
        <v/>
      </c>
      <c r="I25" s="22" t="str">
        <f t="shared" si="3"/>
        <v/>
      </c>
      <c r="J25" s="22" t="str">
        <f t="shared" si="4"/>
        <v/>
      </c>
      <c r="K25" s="14"/>
    </row>
    <row r="26" spans="2:11" ht="87">
      <c r="B26" s="22" t="s">
        <v>2094</v>
      </c>
      <c r="C26" s="23" t="str">
        <f t="shared" si="5"/>
        <v>Not Applicable</v>
      </c>
      <c r="D26" s="23" t="s">
        <v>579</v>
      </c>
      <c r="E26" s="22" t="s">
        <v>2176</v>
      </c>
      <c r="F26" s="22" t="str">
        <f t="shared" si="0"/>
        <v>NA</v>
      </c>
      <c r="G26" s="22" t="str">
        <f t="shared" si="1"/>
        <v/>
      </c>
      <c r="H26" s="22" t="str">
        <f t="shared" si="2"/>
        <v/>
      </c>
      <c r="I26" s="22" t="str">
        <f t="shared" si="3"/>
        <v/>
      </c>
      <c r="J26" s="22" t="str">
        <f t="shared" si="4"/>
        <v/>
      </c>
      <c r="K26" s="14"/>
    </row>
    <row r="27" spans="2:11" ht="72.5">
      <c r="B27" s="9" t="s">
        <v>2095</v>
      </c>
      <c r="C27" s="23" t="str">
        <f t="shared" si="5"/>
        <v>Not Applicable</v>
      </c>
      <c r="D27" s="9" t="s">
        <v>579</v>
      </c>
      <c r="E27" s="9" t="s">
        <v>2177</v>
      </c>
      <c r="F27" s="22" t="str">
        <f t="shared" si="0"/>
        <v>NA</v>
      </c>
      <c r="G27" s="22" t="str">
        <f t="shared" si="1"/>
        <v/>
      </c>
      <c r="H27" s="22" t="str">
        <f t="shared" si="2"/>
        <v/>
      </c>
      <c r="I27" s="22" t="str">
        <f t="shared" si="3"/>
        <v/>
      </c>
      <c r="J27" s="22" t="str">
        <f t="shared" si="4"/>
        <v/>
      </c>
      <c r="K27" s="14"/>
    </row>
    <row r="28" spans="2:11" ht="58">
      <c r="B28" s="9" t="s">
        <v>2096</v>
      </c>
      <c r="C28" s="23" t="str">
        <f t="shared" si="5"/>
        <v>Not Applicable</v>
      </c>
      <c r="D28" s="9" t="s">
        <v>580</v>
      </c>
      <c r="E28" s="9" t="s">
        <v>2178</v>
      </c>
      <c r="F28" s="22" t="str">
        <f t="shared" si="0"/>
        <v>NA</v>
      </c>
      <c r="G28" s="22" t="str">
        <f t="shared" si="1"/>
        <v/>
      </c>
      <c r="H28" s="22" t="str">
        <f t="shared" si="2"/>
        <v/>
      </c>
      <c r="I28" s="22" t="str">
        <f t="shared" si="3"/>
        <v/>
      </c>
      <c r="J28" s="22" t="str">
        <f t="shared" si="4"/>
        <v/>
      </c>
      <c r="K28" s="14"/>
    </row>
    <row r="29" spans="2:11" ht="72.5">
      <c r="B29" s="9" t="s">
        <v>2097</v>
      </c>
      <c r="C29" s="23" t="str">
        <f t="shared" si="5"/>
        <v>Not Applicable</v>
      </c>
      <c r="D29" s="9" t="s">
        <v>580</v>
      </c>
      <c r="E29" s="9" t="s">
        <v>2179</v>
      </c>
      <c r="F29" s="22" t="str">
        <f t="shared" si="0"/>
        <v>NA</v>
      </c>
      <c r="G29" s="22" t="str">
        <f t="shared" si="1"/>
        <v/>
      </c>
      <c r="H29" s="22" t="str">
        <f t="shared" si="2"/>
        <v/>
      </c>
      <c r="I29" s="22" t="str">
        <f t="shared" si="3"/>
        <v/>
      </c>
      <c r="J29" s="22" t="str">
        <f t="shared" si="4"/>
        <v/>
      </c>
      <c r="K29" s="14"/>
    </row>
    <row r="30" spans="2:11" ht="72.5">
      <c r="B30" s="9" t="s">
        <v>2098</v>
      </c>
      <c r="C30" s="23" t="str">
        <f t="shared" si="5"/>
        <v>Not Applicable</v>
      </c>
      <c r="D30" s="9" t="s">
        <v>580</v>
      </c>
      <c r="E30" s="9" t="s">
        <v>2180</v>
      </c>
      <c r="F30" s="22" t="str">
        <f t="shared" si="0"/>
        <v>NA</v>
      </c>
      <c r="G30" s="22" t="str">
        <f t="shared" si="1"/>
        <v/>
      </c>
      <c r="H30" s="22" t="str">
        <f t="shared" si="2"/>
        <v/>
      </c>
      <c r="I30" s="22" t="str">
        <f t="shared" si="3"/>
        <v/>
      </c>
      <c r="J30" s="22" t="str">
        <f t="shared" si="4"/>
        <v/>
      </c>
      <c r="K30" s="14"/>
    </row>
    <row r="31" spans="2:11" ht="72.5">
      <c r="B31" s="9" t="s">
        <v>2099</v>
      </c>
      <c r="C31" s="23" t="str">
        <f t="shared" si="5"/>
        <v>Not Applicable</v>
      </c>
      <c r="D31" s="9" t="s">
        <v>580</v>
      </c>
      <c r="E31" s="9" t="s">
        <v>2181</v>
      </c>
      <c r="F31" s="22" t="str">
        <f t="shared" si="0"/>
        <v>NA</v>
      </c>
      <c r="G31" s="22" t="str">
        <f t="shared" si="1"/>
        <v/>
      </c>
      <c r="H31" s="22" t="str">
        <f t="shared" si="2"/>
        <v/>
      </c>
      <c r="I31" s="22" t="str">
        <f t="shared" si="3"/>
        <v/>
      </c>
      <c r="J31" s="22" t="str">
        <f t="shared" si="4"/>
        <v/>
      </c>
      <c r="K31" s="14"/>
    </row>
    <row r="32" spans="2:11" ht="72.5">
      <c r="B32" s="9" t="s">
        <v>2100</v>
      </c>
      <c r="C32" s="23" t="str">
        <f t="shared" si="5"/>
        <v>Not Applicable</v>
      </c>
      <c r="D32" s="9" t="s">
        <v>580</v>
      </c>
      <c r="E32" s="9" t="s">
        <v>2182</v>
      </c>
      <c r="F32" s="22" t="str">
        <f t="shared" si="0"/>
        <v>NA</v>
      </c>
      <c r="G32" s="22" t="str">
        <f t="shared" si="1"/>
        <v/>
      </c>
      <c r="H32" s="22" t="str">
        <f t="shared" si="2"/>
        <v/>
      </c>
      <c r="I32" s="22" t="str">
        <f t="shared" si="3"/>
        <v/>
      </c>
      <c r="J32" s="22" t="str">
        <f t="shared" si="4"/>
        <v/>
      </c>
      <c r="K32" s="14"/>
    </row>
    <row r="33" spans="2:11" ht="72.5">
      <c r="B33" s="9" t="s">
        <v>2101</v>
      </c>
      <c r="C33" s="23" t="str">
        <f t="shared" si="5"/>
        <v>Not Applicable</v>
      </c>
      <c r="D33" s="9" t="s">
        <v>580</v>
      </c>
      <c r="E33" s="9" t="s">
        <v>2183</v>
      </c>
      <c r="F33" s="22" t="str">
        <f t="shared" si="0"/>
        <v>NA</v>
      </c>
      <c r="G33" s="22" t="str">
        <f t="shared" si="1"/>
        <v/>
      </c>
      <c r="H33" s="22" t="str">
        <f t="shared" si="2"/>
        <v/>
      </c>
      <c r="I33" s="22" t="str">
        <f t="shared" si="3"/>
        <v/>
      </c>
      <c r="J33" s="22" t="str">
        <f t="shared" si="4"/>
        <v/>
      </c>
      <c r="K33" s="14"/>
    </row>
    <row r="34" spans="2:11" ht="72.5">
      <c r="B34" s="9" t="s">
        <v>2102</v>
      </c>
      <c r="C34" s="23" t="str">
        <f t="shared" si="5"/>
        <v>Not Applicable</v>
      </c>
      <c r="D34" s="9" t="s">
        <v>580</v>
      </c>
      <c r="E34" s="9" t="s">
        <v>2184</v>
      </c>
      <c r="F34" s="22" t="str">
        <f t="shared" si="0"/>
        <v>NA</v>
      </c>
      <c r="G34" s="22" t="str">
        <f t="shared" si="1"/>
        <v/>
      </c>
      <c r="H34" s="22" t="str">
        <f t="shared" si="2"/>
        <v/>
      </c>
      <c r="I34" s="22" t="str">
        <f t="shared" si="3"/>
        <v/>
      </c>
      <c r="J34" s="22" t="str">
        <f t="shared" si="4"/>
        <v/>
      </c>
      <c r="K34" s="14"/>
    </row>
    <row r="35" spans="2:11" ht="72.5">
      <c r="B35" s="9" t="s">
        <v>2103</v>
      </c>
      <c r="C35" s="23" t="str">
        <f t="shared" si="5"/>
        <v>Not Applicable</v>
      </c>
      <c r="D35" s="9" t="s">
        <v>580</v>
      </c>
      <c r="E35" s="9" t="s">
        <v>2185</v>
      </c>
      <c r="F35" s="22" t="str">
        <f t="shared" si="0"/>
        <v>NA</v>
      </c>
      <c r="G35" s="22" t="str">
        <f t="shared" si="1"/>
        <v/>
      </c>
      <c r="H35" s="22" t="str">
        <f t="shared" si="2"/>
        <v/>
      </c>
      <c r="I35" s="22" t="str">
        <f t="shared" si="3"/>
        <v/>
      </c>
      <c r="J35" s="22" t="str">
        <f t="shared" si="4"/>
        <v/>
      </c>
      <c r="K35" s="14"/>
    </row>
    <row r="36" spans="2:11" ht="72.5">
      <c r="B36" s="9" t="s">
        <v>2104</v>
      </c>
      <c r="C36" s="23" t="str">
        <f t="shared" si="5"/>
        <v>Not Applicable</v>
      </c>
      <c r="D36" s="9" t="s">
        <v>580</v>
      </c>
      <c r="E36" s="9" t="s">
        <v>2186</v>
      </c>
      <c r="F36" s="22" t="str">
        <f t="shared" si="0"/>
        <v>NA</v>
      </c>
      <c r="G36" s="22" t="str">
        <f t="shared" si="1"/>
        <v/>
      </c>
      <c r="H36" s="22" t="str">
        <f t="shared" si="2"/>
        <v/>
      </c>
      <c r="I36" s="22" t="str">
        <f t="shared" si="3"/>
        <v/>
      </c>
      <c r="J36" s="22" t="str">
        <f t="shared" si="4"/>
        <v/>
      </c>
      <c r="K36" s="14"/>
    </row>
    <row r="37" spans="2:11" ht="72.5">
      <c r="B37" s="9" t="s">
        <v>2105</v>
      </c>
      <c r="C37" s="23" t="str">
        <f t="shared" si="5"/>
        <v>Not Applicable</v>
      </c>
      <c r="D37" s="9" t="s">
        <v>580</v>
      </c>
      <c r="E37" s="9" t="s">
        <v>2187</v>
      </c>
      <c r="F37" s="22" t="str">
        <f t="shared" si="0"/>
        <v>NA</v>
      </c>
      <c r="G37" s="22" t="str">
        <f t="shared" si="1"/>
        <v/>
      </c>
      <c r="H37" s="22" t="str">
        <f t="shared" si="2"/>
        <v/>
      </c>
      <c r="I37" s="22" t="str">
        <f t="shared" si="3"/>
        <v/>
      </c>
      <c r="J37" s="22" t="str">
        <f t="shared" si="4"/>
        <v/>
      </c>
      <c r="K37" s="14"/>
    </row>
    <row r="38" spans="2:11" ht="58">
      <c r="B38" s="9" t="s">
        <v>2106</v>
      </c>
      <c r="C38" s="23" t="str">
        <f t="shared" si="5"/>
        <v>Not Applicable</v>
      </c>
      <c r="D38" s="9" t="s">
        <v>580</v>
      </c>
      <c r="E38" s="9" t="s">
        <v>2188</v>
      </c>
      <c r="F38" s="22" t="str">
        <f t="shared" si="0"/>
        <v>NA</v>
      </c>
      <c r="G38" s="22" t="str">
        <f t="shared" si="1"/>
        <v/>
      </c>
      <c r="H38" s="22" t="str">
        <f t="shared" si="2"/>
        <v/>
      </c>
      <c r="I38" s="22" t="str">
        <f t="shared" si="3"/>
        <v/>
      </c>
      <c r="J38" s="22" t="str">
        <f t="shared" si="4"/>
        <v/>
      </c>
      <c r="K38" s="14"/>
    </row>
    <row r="39" spans="2:11" ht="72.5">
      <c r="B39" s="9" t="s">
        <v>2107</v>
      </c>
      <c r="C39" s="23" t="str">
        <f t="shared" si="5"/>
        <v>Not Applicable</v>
      </c>
      <c r="D39" s="9" t="s">
        <v>580</v>
      </c>
      <c r="E39" s="9" t="s">
        <v>2189</v>
      </c>
      <c r="F39" s="22" t="str">
        <f t="shared" si="0"/>
        <v>NA</v>
      </c>
      <c r="G39" s="22" t="str">
        <f t="shared" si="1"/>
        <v/>
      </c>
      <c r="H39" s="22" t="str">
        <f t="shared" si="2"/>
        <v/>
      </c>
      <c r="I39" s="22" t="str">
        <f t="shared" si="3"/>
        <v/>
      </c>
      <c r="J39" s="22" t="str">
        <f t="shared" si="4"/>
        <v/>
      </c>
      <c r="K39" s="14"/>
    </row>
    <row r="40" spans="2:11" ht="87">
      <c r="B40" s="9" t="s">
        <v>2108</v>
      </c>
      <c r="C40" s="23" t="str">
        <f t="shared" si="5"/>
        <v>Not Applicable</v>
      </c>
      <c r="D40" s="9" t="s">
        <v>580</v>
      </c>
      <c r="E40" s="9" t="s">
        <v>2190</v>
      </c>
      <c r="F40" s="22" t="str">
        <f t="shared" si="0"/>
        <v>NA</v>
      </c>
      <c r="G40" s="22" t="str">
        <f t="shared" si="1"/>
        <v/>
      </c>
      <c r="H40" s="22" t="str">
        <f t="shared" si="2"/>
        <v/>
      </c>
      <c r="I40" s="22" t="str">
        <f t="shared" si="3"/>
        <v/>
      </c>
      <c r="J40" s="22" t="str">
        <f t="shared" si="4"/>
        <v/>
      </c>
      <c r="K40" s="14"/>
    </row>
    <row r="41" spans="2:11" ht="87">
      <c r="B41" s="9" t="s">
        <v>2109</v>
      </c>
      <c r="C41" s="23" t="str">
        <f t="shared" si="5"/>
        <v>Not Applicable</v>
      </c>
      <c r="D41" s="9" t="s">
        <v>580</v>
      </c>
      <c r="E41" s="9" t="s">
        <v>2191</v>
      </c>
      <c r="F41" s="22" t="str">
        <f t="shared" si="0"/>
        <v>NA</v>
      </c>
      <c r="G41" s="22" t="str">
        <f t="shared" si="1"/>
        <v/>
      </c>
      <c r="H41" s="22" t="str">
        <f t="shared" si="2"/>
        <v/>
      </c>
      <c r="I41" s="22" t="str">
        <f t="shared" si="3"/>
        <v/>
      </c>
      <c r="J41" s="22" t="str">
        <f t="shared" si="4"/>
        <v/>
      </c>
      <c r="K41" s="14"/>
    </row>
    <row r="42" spans="2:11" ht="72.5">
      <c r="B42" s="9" t="s">
        <v>2110</v>
      </c>
      <c r="C42" s="23" t="str">
        <f t="shared" si="5"/>
        <v>Not Applicable</v>
      </c>
      <c r="D42" s="9" t="s">
        <v>580</v>
      </c>
      <c r="E42" s="9" t="s">
        <v>2192</v>
      </c>
      <c r="F42" s="22" t="str">
        <f t="shared" si="0"/>
        <v>NA</v>
      </c>
      <c r="G42" s="22" t="str">
        <f t="shared" si="1"/>
        <v/>
      </c>
      <c r="H42" s="22" t="str">
        <f t="shared" si="2"/>
        <v/>
      </c>
      <c r="I42" s="22" t="str">
        <f t="shared" si="3"/>
        <v/>
      </c>
      <c r="J42" s="22" t="str">
        <f t="shared" si="4"/>
        <v/>
      </c>
      <c r="K42" s="14"/>
    </row>
    <row r="43" spans="2:11" ht="72.5">
      <c r="B43" s="9" t="s">
        <v>2111</v>
      </c>
      <c r="C43" s="23" t="str">
        <f t="shared" si="5"/>
        <v>Not Applicable</v>
      </c>
      <c r="D43" s="9" t="s">
        <v>580</v>
      </c>
      <c r="E43" s="9" t="s">
        <v>2193</v>
      </c>
      <c r="F43" s="22" t="str">
        <f t="shared" si="0"/>
        <v>NA</v>
      </c>
      <c r="G43" s="22" t="str">
        <f t="shared" si="1"/>
        <v/>
      </c>
      <c r="H43" s="22" t="str">
        <f t="shared" si="2"/>
        <v/>
      </c>
      <c r="I43" s="22" t="str">
        <f t="shared" si="3"/>
        <v/>
      </c>
      <c r="J43" s="22" t="str">
        <f t="shared" si="4"/>
        <v/>
      </c>
      <c r="K43" s="14"/>
    </row>
    <row r="44" spans="2:11" ht="58">
      <c r="B44" s="9" t="s">
        <v>2112</v>
      </c>
      <c r="C44" s="23" t="str">
        <f t="shared" si="5"/>
        <v>Not Applicable</v>
      </c>
      <c r="D44" s="9" t="s">
        <v>579</v>
      </c>
      <c r="E44" s="9" t="s">
        <v>2194</v>
      </c>
      <c r="F44" s="22" t="str">
        <f t="shared" si="0"/>
        <v>NA</v>
      </c>
      <c r="G44" s="22" t="str">
        <f t="shared" si="1"/>
        <v/>
      </c>
      <c r="H44" s="22" t="str">
        <f t="shared" si="2"/>
        <v/>
      </c>
      <c r="I44" s="22" t="str">
        <f t="shared" si="3"/>
        <v/>
      </c>
      <c r="J44" s="22" t="str">
        <f t="shared" si="4"/>
        <v/>
      </c>
      <c r="K44" s="14"/>
    </row>
    <row r="45" spans="2:11" ht="87">
      <c r="B45" s="9" t="s">
        <v>2113</v>
      </c>
      <c r="C45" s="23" t="str">
        <f t="shared" si="5"/>
        <v>Not Applicable</v>
      </c>
      <c r="D45" s="9" t="s">
        <v>580</v>
      </c>
      <c r="E45" s="9" t="s">
        <v>2195</v>
      </c>
      <c r="F45" s="22" t="str">
        <f t="shared" si="0"/>
        <v>NA</v>
      </c>
      <c r="G45" s="22" t="str">
        <f t="shared" si="1"/>
        <v/>
      </c>
      <c r="H45" s="22" t="str">
        <f t="shared" si="2"/>
        <v/>
      </c>
      <c r="I45" s="22" t="str">
        <f t="shared" si="3"/>
        <v/>
      </c>
      <c r="J45" s="22" t="str">
        <f t="shared" si="4"/>
        <v/>
      </c>
      <c r="K45" s="14"/>
    </row>
    <row r="46" spans="2:11" ht="58">
      <c r="B46" s="9" t="s">
        <v>2114</v>
      </c>
      <c r="C46" s="23" t="str">
        <f t="shared" si="5"/>
        <v>Not Applicable</v>
      </c>
      <c r="D46" s="9" t="s">
        <v>579</v>
      </c>
      <c r="E46" s="9" t="s">
        <v>2196</v>
      </c>
      <c r="F46" s="22" t="str">
        <f t="shared" si="0"/>
        <v>NA</v>
      </c>
      <c r="G46" s="22" t="str">
        <f t="shared" si="1"/>
        <v/>
      </c>
      <c r="H46" s="22" t="str">
        <f t="shared" si="2"/>
        <v/>
      </c>
      <c r="I46" s="22" t="str">
        <f t="shared" si="3"/>
        <v/>
      </c>
      <c r="J46" s="22" t="str">
        <f t="shared" si="4"/>
        <v/>
      </c>
      <c r="K46" s="14"/>
    </row>
    <row r="47" spans="2:11" ht="72.5">
      <c r="B47" s="9" t="s">
        <v>2115</v>
      </c>
      <c r="C47" s="23" t="str">
        <f t="shared" si="5"/>
        <v>Not Applicable</v>
      </c>
      <c r="D47" s="9" t="s">
        <v>580</v>
      </c>
      <c r="E47" s="9" t="s">
        <v>2197</v>
      </c>
      <c r="F47" s="22" t="str">
        <f t="shared" si="0"/>
        <v>NA</v>
      </c>
      <c r="G47" s="22" t="str">
        <f t="shared" si="1"/>
        <v/>
      </c>
      <c r="H47" s="22" t="str">
        <f t="shared" si="2"/>
        <v/>
      </c>
      <c r="I47" s="22" t="str">
        <f t="shared" si="3"/>
        <v/>
      </c>
      <c r="J47" s="22" t="str">
        <f t="shared" si="4"/>
        <v/>
      </c>
      <c r="K47" s="14"/>
    </row>
    <row r="48" spans="2:11" ht="72.5">
      <c r="B48" s="9" t="s">
        <v>2116</v>
      </c>
      <c r="C48" s="23" t="str">
        <f t="shared" si="5"/>
        <v>Not Applicable</v>
      </c>
      <c r="D48" s="9" t="s">
        <v>580</v>
      </c>
      <c r="E48" s="9" t="s">
        <v>2198</v>
      </c>
      <c r="F48" s="22" t="str">
        <f t="shared" si="0"/>
        <v>NA</v>
      </c>
      <c r="G48" s="22" t="str">
        <f t="shared" si="1"/>
        <v/>
      </c>
      <c r="H48" s="22" t="str">
        <f t="shared" si="2"/>
        <v/>
      </c>
      <c r="I48" s="22" t="str">
        <f t="shared" si="3"/>
        <v/>
      </c>
      <c r="J48" s="22" t="str">
        <f t="shared" si="4"/>
        <v/>
      </c>
      <c r="K48" s="14"/>
    </row>
    <row r="49" spans="2:11" ht="87">
      <c r="B49" s="9" t="s">
        <v>2117</v>
      </c>
      <c r="C49" s="23" t="str">
        <f t="shared" si="5"/>
        <v>Not Applicable</v>
      </c>
      <c r="D49" s="9" t="s">
        <v>580</v>
      </c>
      <c r="E49" s="9" t="s">
        <v>2199</v>
      </c>
      <c r="F49" s="22" t="str">
        <f t="shared" si="0"/>
        <v>NA</v>
      </c>
      <c r="G49" s="22" t="str">
        <f t="shared" si="1"/>
        <v/>
      </c>
      <c r="H49" s="22" t="str">
        <f t="shared" si="2"/>
        <v/>
      </c>
      <c r="I49" s="22" t="str">
        <f t="shared" si="3"/>
        <v/>
      </c>
      <c r="J49" s="22" t="str">
        <f t="shared" si="4"/>
        <v/>
      </c>
      <c r="K49" s="14"/>
    </row>
    <row r="50" spans="2:11" ht="58">
      <c r="B50" s="9" t="s">
        <v>2118</v>
      </c>
      <c r="C50" s="23" t="str">
        <f t="shared" si="5"/>
        <v>Not Applicable</v>
      </c>
      <c r="D50" s="9" t="s">
        <v>580</v>
      </c>
      <c r="E50" s="9" t="s">
        <v>2200</v>
      </c>
      <c r="F50" s="22" t="str">
        <f t="shared" si="0"/>
        <v>NA</v>
      </c>
      <c r="G50" s="22" t="str">
        <f t="shared" si="1"/>
        <v/>
      </c>
      <c r="H50" s="22" t="str">
        <f t="shared" si="2"/>
        <v/>
      </c>
      <c r="I50" s="22" t="str">
        <f t="shared" si="3"/>
        <v/>
      </c>
      <c r="J50" s="22" t="str">
        <f t="shared" si="4"/>
        <v/>
      </c>
      <c r="K50" s="14"/>
    </row>
    <row r="51" spans="2:11" ht="87">
      <c r="B51" s="9" t="s">
        <v>2119</v>
      </c>
      <c r="C51" s="23" t="str">
        <f t="shared" si="5"/>
        <v>Not Applicable</v>
      </c>
      <c r="D51" s="9" t="s">
        <v>580</v>
      </c>
      <c r="E51" s="9" t="s">
        <v>2201</v>
      </c>
      <c r="F51" s="22" t="str">
        <f t="shared" si="0"/>
        <v>NA</v>
      </c>
      <c r="G51" s="22" t="str">
        <f t="shared" si="1"/>
        <v/>
      </c>
      <c r="H51" s="22" t="str">
        <f t="shared" si="2"/>
        <v/>
      </c>
      <c r="I51" s="22" t="str">
        <f t="shared" si="3"/>
        <v/>
      </c>
      <c r="J51" s="22" t="str">
        <f t="shared" si="4"/>
        <v/>
      </c>
      <c r="K51" s="14"/>
    </row>
    <row r="52" spans="2:11" ht="72.5">
      <c r="B52" s="9" t="s">
        <v>2120</v>
      </c>
      <c r="C52" s="23" t="str">
        <f t="shared" si="5"/>
        <v>Not Applicable</v>
      </c>
      <c r="D52" s="9" t="s">
        <v>580</v>
      </c>
      <c r="E52" s="9" t="s">
        <v>2202</v>
      </c>
      <c r="F52" s="22" t="str">
        <f t="shared" si="0"/>
        <v>NA</v>
      </c>
      <c r="G52" s="22" t="str">
        <f t="shared" si="1"/>
        <v/>
      </c>
      <c r="H52" s="22" t="str">
        <f t="shared" si="2"/>
        <v/>
      </c>
      <c r="I52" s="22" t="str">
        <f t="shared" si="3"/>
        <v/>
      </c>
      <c r="J52" s="22" t="str">
        <f t="shared" si="4"/>
        <v/>
      </c>
      <c r="K52" s="14"/>
    </row>
    <row r="53" spans="2:11" ht="87">
      <c r="B53" s="9" t="s">
        <v>2121</v>
      </c>
      <c r="C53" s="23" t="str">
        <f t="shared" si="5"/>
        <v>Not Applicable</v>
      </c>
      <c r="D53" s="9" t="s">
        <v>580</v>
      </c>
      <c r="E53" s="9" t="s">
        <v>2203</v>
      </c>
      <c r="F53" s="22" t="str">
        <f t="shared" si="0"/>
        <v>NA</v>
      </c>
      <c r="G53" s="22" t="str">
        <f t="shared" si="1"/>
        <v/>
      </c>
      <c r="H53" s="22" t="str">
        <f t="shared" si="2"/>
        <v/>
      </c>
      <c r="I53" s="22" t="str">
        <f t="shared" si="3"/>
        <v/>
      </c>
      <c r="J53" s="22" t="str">
        <f t="shared" si="4"/>
        <v/>
      </c>
      <c r="K53" s="14"/>
    </row>
    <row r="54" spans="2:11" ht="87">
      <c r="B54" s="9" t="s">
        <v>2122</v>
      </c>
      <c r="C54" s="23" t="str">
        <f t="shared" si="5"/>
        <v>Not Applicable</v>
      </c>
      <c r="D54" s="9" t="s">
        <v>580</v>
      </c>
      <c r="E54" s="9" t="s">
        <v>2204</v>
      </c>
      <c r="F54" s="22" t="str">
        <f t="shared" si="0"/>
        <v>NA</v>
      </c>
      <c r="G54" s="22" t="str">
        <f t="shared" si="1"/>
        <v/>
      </c>
      <c r="H54" s="22" t="str">
        <f t="shared" si="2"/>
        <v/>
      </c>
      <c r="I54" s="22" t="str">
        <f t="shared" si="3"/>
        <v/>
      </c>
      <c r="J54" s="22" t="str">
        <f t="shared" si="4"/>
        <v/>
      </c>
      <c r="K54" s="14"/>
    </row>
    <row r="55" spans="2:11" ht="87">
      <c r="B55" s="9" t="s">
        <v>2123</v>
      </c>
      <c r="C55" s="23" t="str">
        <f t="shared" si="5"/>
        <v>Not Applicable</v>
      </c>
      <c r="D55" s="9" t="s">
        <v>580</v>
      </c>
      <c r="E55" s="9" t="s">
        <v>2205</v>
      </c>
      <c r="F55" s="22" t="str">
        <f t="shared" si="0"/>
        <v>NA</v>
      </c>
      <c r="G55" s="22" t="str">
        <f t="shared" si="1"/>
        <v/>
      </c>
      <c r="H55" s="22" t="str">
        <f t="shared" si="2"/>
        <v/>
      </c>
      <c r="I55" s="22" t="str">
        <f t="shared" si="3"/>
        <v/>
      </c>
      <c r="J55" s="22" t="str">
        <f t="shared" si="4"/>
        <v/>
      </c>
      <c r="K55" s="14"/>
    </row>
    <row r="56" spans="2:11" ht="87">
      <c r="B56" s="9" t="s">
        <v>2124</v>
      </c>
      <c r="C56" s="23" t="str">
        <f t="shared" si="5"/>
        <v>Not Applicable</v>
      </c>
      <c r="D56" s="9" t="s">
        <v>580</v>
      </c>
      <c r="E56" s="9" t="s">
        <v>2206</v>
      </c>
      <c r="F56" s="22" t="str">
        <f t="shared" si="0"/>
        <v>NA</v>
      </c>
      <c r="G56" s="22" t="str">
        <f t="shared" si="1"/>
        <v/>
      </c>
      <c r="H56" s="22" t="str">
        <f t="shared" si="2"/>
        <v/>
      </c>
      <c r="I56" s="22" t="str">
        <f t="shared" si="3"/>
        <v/>
      </c>
      <c r="J56" s="22" t="str">
        <f t="shared" si="4"/>
        <v/>
      </c>
      <c r="K56" s="14"/>
    </row>
    <row r="57" spans="2:11" ht="58">
      <c r="B57" s="9" t="s">
        <v>2125</v>
      </c>
      <c r="C57" s="23" t="str">
        <f t="shared" si="5"/>
        <v>Not Applicable</v>
      </c>
      <c r="D57" s="9" t="s">
        <v>580</v>
      </c>
      <c r="E57" s="9" t="s">
        <v>2207</v>
      </c>
      <c r="F57" s="22" t="str">
        <f t="shared" si="0"/>
        <v>NA</v>
      </c>
      <c r="G57" s="22" t="str">
        <f t="shared" si="1"/>
        <v/>
      </c>
      <c r="H57" s="22" t="str">
        <f t="shared" si="2"/>
        <v/>
      </c>
      <c r="I57" s="22" t="str">
        <f t="shared" si="3"/>
        <v/>
      </c>
      <c r="J57" s="22" t="str">
        <f t="shared" si="4"/>
        <v/>
      </c>
      <c r="K57" s="14"/>
    </row>
    <row r="58" spans="2:11" ht="87">
      <c r="B58" s="9" t="s">
        <v>2126</v>
      </c>
      <c r="C58" s="23" t="str">
        <f t="shared" si="5"/>
        <v>Not Applicable</v>
      </c>
      <c r="D58" s="9" t="s">
        <v>580</v>
      </c>
      <c r="E58" s="9" t="s">
        <v>2208</v>
      </c>
      <c r="F58" s="22" t="str">
        <f t="shared" si="0"/>
        <v>NA</v>
      </c>
      <c r="G58" s="22" t="str">
        <f t="shared" si="1"/>
        <v/>
      </c>
      <c r="H58" s="22" t="str">
        <f t="shared" si="2"/>
        <v/>
      </c>
      <c r="I58" s="22" t="str">
        <f t="shared" si="3"/>
        <v/>
      </c>
      <c r="J58" s="22" t="str">
        <f t="shared" si="4"/>
        <v/>
      </c>
      <c r="K58" s="14"/>
    </row>
    <row r="59" spans="2:11" ht="72.5">
      <c r="B59" s="9" t="s">
        <v>2127</v>
      </c>
      <c r="C59" s="23" t="str">
        <f t="shared" si="5"/>
        <v>Not Applicable</v>
      </c>
      <c r="D59" s="9" t="s">
        <v>580</v>
      </c>
      <c r="E59" s="9" t="s">
        <v>2209</v>
      </c>
      <c r="F59" s="22" t="str">
        <f t="shared" si="0"/>
        <v>NA</v>
      </c>
      <c r="G59" s="22" t="str">
        <f t="shared" si="1"/>
        <v/>
      </c>
      <c r="H59" s="22" t="str">
        <f t="shared" si="2"/>
        <v/>
      </c>
      <c r="I59" s="22" t="str">
        <f t="shared" si="3"/>
        <v/>
      </c>
      <c r="J59" s="22" t="str">
        <f t="shared" si="4"/>
        <v/>
      </c>
      <c r="K59" s="14"/>
    </row>
    <row r="60" spans="2:11" ht="101.5">
      <c r="B60" s="9" t="s">
        <v>2128</v>
      </c>
      <c r="C60" s="23" t="str">
        <f t="shared" si="5"/>
        <v>Not Applicable</v>
      </c>
      <c r="D60" s="9" t="s">
        <v>580</v>
      </c>
      <c r="E60" s="9" t="s">
        <v>2210</v>
      </c>
      <c r="F60" s="22" t="str">
        <f t="shared" si="0"/>
        <v>NA</v>
      </c>
      <c r="G60" s="22" t="str">
        <f t="shared" si="1"/>
        <v/>
      </c>
      <c r="H60" s="22" t="str">
        <f t="shared" si="2"/>
        <v/>
      </c>
      <c r="I60" s="22" t="str">
        <f t="shared" si="3"/>
        <v/>
      </c>
      <c r="J60" s="22" t="str">
        <f t="shared" si="4"/>
        <v/>
      </c>
      <c r="K60" s="14"/>
    </row>
    <row r="61" spans="2:11" ht="72.5">
      <c r="B61" s="9" t="s">
        <v>2129</v>
      </c>
      <c r="C61" s="23" t="str">
        <f t="shared" si="5"/>
        <v>Not Applicable</v>
      </c>
      <c r="D61" s="9" t="s">
        <v>580</v>
      </c>
      <c r="E61" s="9" t="s">
        <v>2211</v>
      </c>
      <c r="F61" s="22" t="str">
        <f t="shared" si="0"/>
        <v>NA</v>
      </c>
      <c r="G61" s="22" t="str">
        <f t="shared" si="1"/>
        <v/>
      </c>
      <c r="H61" s="22" t="str">
        <f t="shared" si="2"/>
        <v/>
      </c>
      <c r="I61" s="22" t="str">
        <f t="shared" si="3"/>
        <v/>
      </c>
      <c r="J61" s="22" t="str">
        <f t="shared" si="4"/>
        <v/>
      </c>
      <c r="K61" s="14"/>
    </row>
    <row r="62" spans="2:11" ht="101.5">
      <c r="B62" s="9" t="s">
        <v>2130</v>
      </c>
      <c r="C62" s="23" t="str">
        <f t="shared" si="5"/>
        <v>Not Applicable</v>
      </c>
      <c r="D62" s="9" t="s">
        <v>580</v>
      </c>
      <c r="E62" s="9" t="s">
        <v>2212</v>
      </c>
      <c r="F62" s="22" t="str">
        <f t="shared" si="0"/>
        <v>NA</v>
      </c>
      <c r="G62" s="22" t="str">
        <f t="shared" si="1"/>
        <v/>
      </c>
      <c r="H62" s="22" t="str">
        <f t="shared" si="2"/>
        <v/>
      </c>
      <c r="I62" s="22" t="str">
        <f t="shared" si="3"/>
        <v/>
      </c>
      <c r="J62" s="22" t="str">
        <f t="shared" si="4"/>
        <v/>
      </c>
      <c r="K62" s="14"/>
    </row>
    <row r="63" spans="2:11" ht="72.5">
      <c r="B63" s="9" t="s">
        <v>2131</v>
      </c>
      <c r="C63" s="23" t="str">
        <f t="shared" si="5"/>
        <v>Not Applicable</v>
      </c>
      <c r="D63" s="9" t="s">
        <v>580</v>
      </c>
      <c r="E63" s="9" t="s">
        <v>2213</v>
      </c>
      <c r="F63" s="22" t="str">
        <f t="shared" si="0"/>
        <v>NA</v>
      </c>
      <c r="G63" s="22" t="str">
        <f t="shared" si="1"/>
        <v/>
      </c>
      <c r="H63" s="22" t="str">
        <f t="shared" si="2"/>
        <v/>
      </c>
      <c r="I63" s="22" t="str">
        <f t="shared" si="3"/>
        <v/>
      </c>
      <c r="J63" s="22" t="str">
        <f t="shared" si="4"/>
        <v/>
      </c>
      <c r="K63" s="14"/>
    </row>
    <row r="64" spans="2:11" ht="87">
      <c r="B64" s="9" t="s">
        <v>2132</v>
      </c>
      <c r="C64" s="23" t="str">
        <f t="shared" si="5"/>
        <v>Not Applicable</v>
      </c>
      <c r="D64" s="9" t="s">
        <v>580</v>
      </c>
      <c r="E64" s="9" t="s">
        <v>2214</v>
      </c>
      <c r="F64" s="22" t="str">
        <f t="shared" si="0"/>
        <v>NA</v>
      </c>
      <c r="G64" s="22" t="str">
        <f t="shared" si="1"/>
        <v/>
      </c>
      <c r="H64" s="22" t="str">
        <f t="shared" si="2"/>
        <v/>
      </c>
      <c r="I64" s="22" t="str">
        <f t="shared" si="3"/>
        <v/>
      </c>
      <c r="J64" s="22" t="str">
        <f t="shared" si="4"/>
        <v/>
      </c>
      <c r="K64" s="14"/>
    </row>
    <row r="65" spans="2:11" ht="72.5">
      <c r="B65" s="9" t="s">
        <v>2133</v>
      </c>
      <c r="C65" s="23" t="str">
        <f t="shared" si="5"/>
        <v>Not Applicable</v>
      </c>
      <c r="D65" s="9" t="s">
        <v>580</v>
      </c>
      <c r="E65" s="9" t="s">
        <v>2215</v>
      </c>
      <c r="F65" s="22" t="str">
        <f t="shared" si="0"/>
        <v>NA</v>
      </c>
      <c r="G65" s="22" t="str">
        <f t="shared" si="1"/>
        <v/>
      </c>
      <c r="H65" s="22" t="str">
        <f t="shared" si="2"/>
        <v/>
      </c>
      <c r="I65" s="22" t="str">
        <f t="shared" si="3"/>
        <v/>
      </c>
      <c r="J65" s="22" t="str">
        <f t="shared" si="4"/>
        <v/>
      </c>
      <c r="K65" s="14"/>
    </row>
    <row r="66" spans="2:11" ht="87">
      <c r="B66" s="9" t="s">
        <v>2134</v>
      </c>
      <c r="C66" s="23" t="str">
        <f t="shared" si="5"/>
        <v>Not Applicable</v>
      </c>
      <c r="D66" s="9" t="s">
        <v>580</v>
      </c>
      <c r="E66" s="9" t="s">
        <v>2216</v>
      </c>
      <c r="F66" s="22" t="str">
        <f t="shared" si="0"/>
        <v>NA</v>
      </c>
      <c r="G66" s="22" t="str">
        <f t="shared" si="1"/>
        <v/>
      </c>
      <c r="H66" s="22" t="str">
        <f t="shared" si="2"/>
        <v/>
      </c>
      <c r="I66" s="22" t="str">
        <f t="shared" si="3"/>
        <v/>
      </c>
      <c r="J66" s="22" t="str">
        <f t="shared" si="4"/>
        <v/>
      </c>
      <c r="K66" s="14"/>
    </row>
    <row r="67" spans="2:11" ht="72.5">
      <c r="B67" s="9" t="s">
        <v>2135</v>
      </c>
      <c r="C67" s="23" t="str">
        <f t="shared" si="5"/>
        <v>Not Applicable</v>
      </c>
      <c r="D67" s="9" t="s">
        <v>580</v>
      </c>
      <c r="E67" s="9" t="s">
        <v>2217</v>
      </c>
      <c r="F67" s="22" t="str">
        <f t="shared" si="0"/>
        <v>NA</v>
      </c>
      <c r="G67" s="22" t="str">
        <f t="shared" si="1"/>
        <v/>
      </c>
      <c r="H67" s="22" t="str">
        <f t="shared" si="2"/>
        <v/>
      </c>
      <c r="I67" s="22" t="str">
        <f t="shared" si="3"/>
        <v/>
      </c>
      <c r="J67" s="22" t="str">
        <f t="shared" si="4"/>
        <v/>
      </c>
      <c r="K67" s="14"/>
    </row>
    <row r="68" spans="2:11" ht="72.5">
      <c r="B68" s="9" t="s">
        <v>2136</v>
      </c>
      <c r="C68" s="23" t="str">
        <f t="shared" si="5"/>
        <v>Not Applicable</v>
      </c>
      <c r="D68" s="9" t="s">
        <v>580</v>
      </c>
      <c r="E68" s="9" t="s">
        <v>2218</v>
      </c>
      <c r="F68" s="22" t="str">
        <f t="shared" ref="F68:F85" si="6">IF(C68="Not Applicable","NA","Comply")</f>
        <v>NA</v>
      </c>
      <c r="G68" s="22" t="str">
        <f t="shared" si="1"/>
        <v/>
      </c>
      <c r="H68" s="22" t="str">
        <f t="shared" si="2"/>
        <v/>
      </c>
      <c r="I68" s="22" t="str">
        <f t="shared" si="3"/>
        <v/>
      </c>
      <c r="J68" s="22" t="str">
        <f t="shared" si="4"/>
        <v/>
      </c>
      <c r="K68" s="14"/>
    </row>
    <row r="69" spans="2:11" ht="87">
      <c r="B69" s="9" t="s">
        <v>2137</v>
      </c>
      <c r="C69" s="23" t="str">
        <f t="shared" si="5"/>
        <v>Not Applicable</v>
      </c>
      <c r="D69" s="9" t="s">
        <v>580</v>
      </c>
      <c r="E69" s="9" t="s">
        <v>2219</v>
      </c>
      <c r="F69" s="22" t="str">
        <f t="shared" si="6"/>
        <v>NA</v>
      </c>
      <c r="G69" s="22" t="str">
        <f t="shared" ref="G69:G85" si="7">IF(F69="not comply","Gaps to be stated here","")</f>
        <v/>
      </c>
      <c r="H69" s="22" t="str">
        <f t="shared" ref="H69:H85" si="8">IF(F69="not comply","action to be stated here","")</f>
        <v/>
      </c>
      <c r="I69" s="22" t="str">
        <f t="shared" ref="I69:I85" si="9">IF(F69="not comply","Name of PIC to be stated here","")</f>
        <v/>
      </c>
      <c r="J69" s="22" t="str">
        <f t="shared" ref="J69:J85" si="10">IF(F69="not comply","action date to be stated here","")</f>
        <v/>
      </c>
      <c r="K69" s="14"/>
    </row>
    <row r="70" spans="2:11" ht="72.5">
      <c r="B70" s="9" t="s">
        <v>2138</v>
      </c>
      <c r="C70" s="23" t="str">
        <f t="shared" ref="C70:C85" si="11">C69</f>
        <v>Not Applicable</v>
      </c>
      <c r="D70" s="9" t="s">
        <v>580</v>
      </c>
      <c r="E70" s="9" t="s">
        <v>2220</v>
      </c>
      <c r="F70" s="22" t="str">
        <f t="shared" si="6"/>
        <v>NA</v>
      </c>
      <c r="G70" s="22" t="str">
        <f t="shared" si="7"/>
        <v/>
      </c>
      <c r="H70" s="22" t="str">
        <f t="shared" si="8"/>
        <v/>
      </c>
      <c r="I70" s="22" t="str">
        <f t="shared" si="9"/>
        <v/>
      </c>
      <c r="J70" s="22" t="str">
        <f t="shared" si="10"/>
        <v/>
      </c>
      <c r="K70" s="14"/>
    </row>
    <row r="71" spans="2:11" ht="101.5">
      <c r="B71" s="9" t="s">
        <v>2139</v>
      </c>
      <c r="C71" s="23" t="str">
        <f t="shared" si="11"/>
        <v>Not Applicable</v>
      </c>
      <c r="D71" s="9" t="s">
        <v>580</v>
      </c>
      <c r="E71" s="9" t="s">
        <v>2221</v>
      </c>
      <c r="F71" s="22" t="str">
        <f t="shared" si="6"/>
        <v>NA</v>
      </c>
      <c r="G71" s="22" t="str">
        <f t="shared" si="7"/>
        <v/>
      </c>
      <c r="H71" s="22" t="str">
        <f t="shared" si="8"/>
        <v/>
      </c>
      <c r="I71" s="22" t="str">
        <f t="shared" si="9"/>
        <v/>
      </c>
      <c r="J71" s="22" t="str">
        <f t="shared" si="10"/>
        <v/>
      </c>
      <c r="K71" s="14"/>
    </row>
    <row r="72" spans="2:11" ht="87">
      <c r="B72" s="9" t="s">
        <v>2140</v>
      </c>
      <c r="C72" s="23" t="str">
        <f t="shared" si="11"/>
        <v>Not Applicable</v>
      </c>
      <c r="D72" s="9" t="s">
        <v>580</v>
      </c>
      <c r="E72" s="9" t="s">
        <v>2222</v>
      </c>
      <c r="F72" s="22" t="str">
        <f t="shared" si="6"/>
        <v>NA</v>
      </c>
      <c r="G72" s="22" t="str">
        <f t="shared" si="7"/>
        <v/>
      </c>
      <c r="H72" s="22" t="str">
        <f t="shared" si="8"/>
        <v/>
      </c>
      <c r="I72" s="22" t="str">
        <f t="shared" si="9"/>
        <v/>
      </c>
      <c r="J72" s="22" t="str">
        <f t="shared" si="10"/>
        <v/>
      </c>
      <c r="K72" s="14"/>
    </row>
    <row r="73" spans="2:11" ht="87">
      <c r="B73" s="9" t="s">
        <v>2141</v>
      </c>
      <c r="C73" s="23" t="str">
        <f t="shared" si="11"/>
        <v>Not Applicable</v>
      </c>
      <c r="D73" s="9" t="s">
        <v>580</v>
      </c>
      <c r="E73" s="9" t="s">
        <v>2223</v>
      </c>
      <c r="F73" s="22" t="str">
        <f t="shared" si="6"/>
        <v>NA</v>
      </c>
      <c r="G73" s="22" t="str">
        <f t="shared" si="7"/>
        <v/>
      </c>
      <c r="H73" s="22" t="str">
        <f t="shared" si="8"/>
        <v/>
      </c>
      <c r="I73" s="22" t="str">
        <f t="shared" si="9"/>
        <v/>
      </c>
      <c r="J73" s="22" t="str">
        <f t="shared" si="10"/>
        <v/>
      </c>
      <c r="K73" s="14"/>
    </row>
    <row r="74" spans="2:11" ht="72.5">
      <c r="B74" s="9" t="s">
        <v>2142</v>
      </c>
      <c r="C74" s="23" t="str">
        <f t="shared" si="11"/>
        <v>Not Applicable</v>
      </c>
      <c r="D74" s="9" t="s">
        <v>580</v>
      </c>
      <c r="E74" s="9" t="s">
        <v>2224</v>
      </c>
      <c r="F74" s="22" t="str">
        <f t="shared" si="6"/>
        <v>NA</v>
      </c>
      <c r="G74" s="22" t="str">
        <f t="shared" si="7"/>
        <v/>
      </c>
      <c r="H74" s="22" t="str">
        <f t="shared" si="8"/>
        <v/>
      </c>
      <c r="I74" s="22" t="str">
        <f t="shared" si="9"/>
        <v/>
      </c>
      <c r="J74" s="22" t="str">
        <f t="shared" si="10"/>
        <v/>
      </c>
      <c r="K74" s="14"/>
    </row>
    <row r="75" spans="2:11" ht="87">
      <c r="B75" s="9" t="s">
        <v>2143</v>
      </c>
      <c r="C75" s="23" t="str">
        <f t="shared" si="11"/>
        <v>Not Applicable</v>
      </c>
      <c r="D75" s="9" t="s">
        <v>580</v>
      </c>
      <c r="E75" s="9" t="s">
        <v>2225</v>
      </c>
      <c r="F75" s="22" t="str">
        <f t="shared" si="6"/>
        <v>NA</v>
      </c>
      <c r="G75" s="22" t="str">
        <f t="shared" si="7"/>
        <v/>
      </c>
      <c r="H75" s="22" t="str">
        <f t="shared" si="8"/>
        <v/>
      </c>
      <c r="I75" s="22" t="str">
        <f t="shared" si="9"/>
        <v/>
      </c>
      <c r="J75" s="22" t="str">
        <f t="shared" si="10"/>
        <v/>
      </c>
      <c r="K75" s="14"/>
    </row>
    <row r="76" spans="2:11" ht="87">
      <c r="B76" s="9" t="s">
        <v>2144</v>
      </c>
      <c r="C76" s="23" t="str">
        <f t="shared" si="11"/>
        <v>Not Applicable</v>
      </c>
      <c r="D76" s="9" t="s">
        <v>580</v>
      </c>
      <c r="E76" s="9" t="s">
        <v>2226</v>
      </c>
      <c r="F76" s="22" t="str">
        <f t="shared" si="6"/>
        <v>NA</v>
      </c>
      <c r="G76" s="22" t="str">
        <f t="shared" si="7"/>
        <v/>
      </c>
      <c r="H76" s="22" t="str">
        <f t="shared" si="8"/>
        <v/>
      </c>
      <c r="I76" s="22" t="str">
        <f t="shared" si="9"/>
        <v/>
      </c>
      <c r="J76" s="22" t="str">
        <f t="shared" si="10"/>
        <v/>
      </c>
      <c r="K76" s="14"/>
    </row>
    <row r="77" spans="2:11" ht="87">
      <c r="B77" s="9" t="s">
        <v>2145</v>
      </c>
      <c r="C77" s="23" t="str">
        <f t="shared" si="11"/>
        <v>Not Applicable</v>
      </c>
      <c r="D77" s="9" t="s">
        <v>580</v>
      </c>
      <c r="E77" s="9" t="s">
        <v>2227</v>
      </c>
      <c r="F77" s="22" t="str">
        <f t="shared" si="6"/>
        <v>NA</v>
      </c>
      <c r="G77" s="22" t="str">
        <f t="shared" si="7"/>
        <v/>
      </c>
      <c r="H77" s="22" t="str">
        <f t="shared" si="8"/>
        <v/>
      </c>
      <c r="I77" s="22" t="str">
        <f t="shared" si="9"/>
        <v/>
      </c>
      <c r="J77" s="22" t="str">
        <f t="shared" si="10"/>
        <v/>
      </c>
      <c r="K77" s="14"/>
    </row>
    <row r="78" spans="2:11" ht="72.5">
      <c r="B78" s="9" t="s">
        <v>2146</v>
      </c>
      <c r="C78" s="23" t="str">
        <f t="shared" si="11"/>
        <v>Not Applicable</v>
      </c>
      <c r="D78" s="9" t="s">
        <v>580</v>
      </c>
      <c r="E78" s="9" t="s">
        <v>2228</v>
      </c>
      <c r="F78" s="22" t="str">
        <f t="shared" si="6"/>
        <v>NA</v>
      </c>
      <c r="G78" s="22" t="str">
        <f t="shared" si="7"/>
        <v/>
      </c>
      <c r="H78" s="22" t="str">
        <f t="shared" si="8"/>
        <v/>
      </c>
      <c r="I78" s="22" t="str">
        <f t="shared" si="9"/>
        <v/>
      </c>
      <c r="J78" s="22" t="str">
        <f t="shared" si="10"/>
        <v/>
      </c>
      <c r="K78" s="14"/>
    </row>
    <row r="79" spans="2:11" ht="58">
      <c r="B79" s="9" t="s">
        <v>2147</v>
      </c>
      <c r="C79" s="23" t="str">
        <f t="shared" si="11"/>
        <v>Not Applicable</v>
      </c>
      <c r="D79" s="9" t="s">
        <v>580</v>
      </c>
      <c r="E79" s="9" t="s">
        <v>2229</v>
      </c>
      <c r="F79" s="22" t="str">
        <f t="shared" si="6"/>
        <v>NA</v>
      </c>
      <c r="G79" s="22" t="str">
        <f t="shared" si="7"/>
        <v/>
      </c>
      <c r="H79" s="22" t="str">
        <f t="shared" si="8"/>
        <v/>
      </c>
      <c r="I79" s="22" t="str">
        <f t="shared" si="9"/>
        <v/>
      </c>
      <c r="J79" s="22" t="str">
        <f t="shared" si="10"/>
        <v/>
      </c>
      <c r="K79" s="14"/>
    </row>
    <row r="80" spans="2:11" ht="87">
      <c r="B80" s="9" t="s">
        <v>2148</v>
      </c>
      <c r="C80" s="23" t="str">
        <f t="shared" si="11"/>
        <v>Not Applicable</v>
      </c>
      <c r="D80" s="9" t="s">
        <v>579</v>
      </c>
      <c r="E80" s="9" t="s">
        <v>2230</v>
      </c>
      <c r="F80" s="22" t="str">
        <f t="shared" si="6"/>
        <v>NA</v>
      </c>
      <c r="G80" s="22" t="str">
        <f t="shared" si="7"/>
        <v/>
      </c>
      <c r="H80" s="22" t="str">
        <f t="shared" si="8"/>
        <v/>
      </c>
      <c r="I80" s="22" t="str">
        <f t="shared" si="9"/>
        <v/>
      </c>
      <c r="J80" s="22" t="str">
        <f t="shared" si="10"/>
        <v/>
      </c>
      <c r="K80" s="14"/>
    </row>
    <row r="81" spans="2:11" ht="87">
      <c r="B81" s="9" t="s">
        <v>2149</v>
      </c>
      <c r="C81" s="23" t="str">
        <f t="shared" si="11"/>
        <v>Not Applicable</v>
      </c>
      <c r="D81" s="9" t="s">
        <v>580</v>
      </c>
      <c r="E81" s="9" t="s">
        <v>2231</v>
      </c>
      <c r="F81" s="22" t="str">
        <f t="shared" si="6"/>
        <v>NA</v>
      </c>
      <c r="G81" s="22" t="str">
        <f t="shared" si="7"/>
        <v/>
      </c>
      <c r="H81" s="22" t="str">
        <f t="shared" si="8"/>
        <v/>
      </c>
      <c r="I81" s="22" t="str">
        <f t="shared" si="9"/>
        <v/>
      </c>
      <c r="J81" s="22" t="str">
        <f t="shared" si="10"/>
        <v/>
      </c>
      <c r="K81" s="14"/>
    </row>
    <row r="82" spans="2:11" ht="116">
      <c r="B82" s="9" t="s">
        <v>2150</v>
      </c>
      <c r="C82" s="23" t="str">
        <f t="shared" si="11"/>
        <v>Not Applicable</v>
      </c>
      <c r="D82" s="9" t="s">
        <v>580</v>
      </c>
      <c r="E82" s="9" t="s">
        <v>2232</v>
      </c>
      <c r="F82" s="22" t="str">
        <f t="shared" si="6"/>
        <v>NA</v>
      </c>
      <c r="G82" s="22" t="str">
        <f t="shared" si="7"/>
        <v/>
      </c>
      <c r="H82" s="22" t="str">
        <f t="shared" si="8"/>
        <v/>
      </c>
      <c r="I82" s="22" t="str">
        <f t="shared" si="9"/>
        <v/>
      </c>
      <c r="J82" s="22" t="str">
        <f t="shared" si="10"/>
        <v/>
      </c>
      <c r="K82" s="14"/>
    </row>
    <row r="83" spans="2:11" ht="87">
      <c r="B83" s="9" t="s">
        <v>2151</v>
      </c>
      <c r="C83" s="23" t="str">
        <f t="shared" si="11"/>
        <v>Not Applicable</v>
      </c>
      <c r="D83" s="9" t="s">
        <v>580</v>
      </c>
      <c r="E83" s="9" t="s">
        <v>2233</v>
      </c>
      <c r="F83" s="22" t="str">
        <f t="shared" si="6"/>
        <v>NA</v>
      </c>
      <c r="G83" s="22" t="str">
        <f t="shared" si="7"/>
        <v/>
      </c>
      <c r="H83" s="22" t="str">
        <f t="shared" si="8"/>
        <v/>
      </c>
      <c r="I83" s="22" t="str">
        <f t="shared" si="9"/>
        <v/>
      </c>
      <c r="J83" s="22" t="str">
        <f t="shared" si="10"/>
        <v/>
      </c>
      <c r="K83" s="14"/>
    </row>
    <row r="84" spans="2:11" ht="87">
      <c r="B84" s="9" t="s">
        <v>2152</v>
      </c>
      <c r="C84" s="23" t="str">
        <f t="shared" si="11"/>
        <v>Not Applicable</v>
      </c>
      <c r="D84" s="9" t="s">
        <v>580</v>
      </c>
      <c r="E84" s="9" t="s">
        <v>2234</v>
      </c>
      <c r="F84" s="22" t="str">
        <f t="shared" si="6"/>
        <v>NA</v>
      </c>
      <c r="G84" s="22" t="str">
        <f t="shared" si="7"/>
        <v/>
      </c>
      <c r="H84" s="22" t="str">
        <f t="shared" si="8"/>
        <v/>
      </c>
      <c r="I84" s="22" t="str">
        <f t="shared" si="9"/>
        <v/>
      </c>
      <c r="J84" s="22" t="str">
        <f t="shared" si="10"/>
        <v/>
      </c>
      <c r="K84" s="14"/>
    </row>
    <row r="85" spans="2:11" ht="101.5">
      <c r="B85" s="9" t="s">
        <v>2153</v>
      </c>
      <c r="C85" s="23" t="str">
        <f t="shared" si="11"/>
        <v>Not Applicable</v>
      </c>
      <c r="D85" s="9" t="s">
        <v>578</v>
      </c>
      <c r="E85" s="9" t="s">
        <v>2235</v>
      </c>
      <c r="F85" s="22" t="str">
        <f t="shared" si="6"/>
        <v>NA</v>
      </c>
      <c r="G85" s="22" t="str">
        <f t="shared" si="7"/>
        <v/>
      </c>
      <c r="H85" s="22" t="str">
        <f t="shared" si="8"/>
        <v/>
      </c>
      <c r="I85" s="22" t="str">
        <f t="shared" si="9"/>
        <v/>
      </c>
      <c r="J85" s="22" t="str">
        <f t="shared" si="10"/>
        <v/>
      </c>
      <c r="K85" s="14"/>
    </row>
  </sheetData>
  <conditionalFormatting sqref="C1:C1048576">
    <cfRule type="containsText" dxfId="19" priority="9" operator="containsText" text="Not Applicable">
      <formula>NOT(ISERROR(SEARCH("Not Applicable",C1)))</formula>
    </cfRule>
    <cfRule type="containsText" dxfId="18" priority="10" operator="containsText" text="Applicable">
      <formula>NOT(ISERROR(SEARCH("Applicable",C1)))</formula>
    </cfRule>
  </conditionalFormatting>
  <conditionalFormatting sqref="F4:F85">
    <cfRule type="containsText" dxfId="17" priority="7" operator="containsText" text="Not">
      <formula>NOT(ISERROR(SEARCH("Not",F4)))</formula>
    </cfRule>
    <cfRule type="containsText" dxfId="16" priority="8" operator="containsText" text="Comply">
      <formula>NOT(ISERROR(SEARCH("Comply",F4)))</formula>
    </cfRule>
  </conditionalFormatting>
  <conditionalFormatting sqref="G4:G85">
    <cfRule type="containsText" dxfId="15" priority="4" operator="containsText" text="Gaps to be stated here">
      <formula>NOT(ISERROR(SEARCH("Gaps to be stated here",G4)))</formula>
    </cfRule>
  </conditionalFormatting>
  <conditionalFormatting sqref="H4:H85">
    <cfRule type="containsText" dxfId="14" priority="5" operator="containsText" text="action to be stated here">
      <formula>NOT(ISERROR(SEARCH("action to be stated here",H4)))</formula>
    </cfRule>
  </conditionalFormatting>
  <conditionalFormatting sqref="I4:I85">
    <cfRule type="containsText" dxfId="13" priority="3" operator="containsText" text="Name of PIC to be stated here">
      <formula>NOT(ISERROR(SEARCH("Name of PIC to be stated here",I4)))</formula>
    </cfRule>
  </conditionalFormatting>
  <conditionalFormatting sqref="J4:J85">
    <cfRule type="containsText" dxfId="12" priority="2" operator="containsText" text="action date to be stated here">
      <formula>NOT(ISERROR(SEARCH("action date to be stated here",J4)))</formula>
    </cfRule>
  </conditionalFormatting>
  <conditionalFormatting sqref="K3">
    <cfRule type="expression" dxfId="11" priority="1">
      <formula>$K$2&gt;0</formula>
    </cfRule>
  </conditionalFormatting>
  <conditionalFormatting sqref="K4:K85">
    <cfRule type="expression" dxfId="1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1702301E-F6E5-4130-9DBD-DD7B92A23A14}">
          <x14:formula1>
            <xm:f>'back-data'!$B$13:$B$15</xm:f>
          </x14:formula1>
          <xm:sqref>F4:F85</xm:sqref>
        </x14:dataValidation>
        <x14:dataValidation type="list" allowBlank="1" showInputMessage="1" showErrorMessage="1" xr:uid="{F4FCF10D-BDCC-4DAF-A7CD-62DBDA930001}">
          <x14:formula1>
            <xm:f>'back-data'!$B$4:$B$6</xm:f>
          </x14:formula1>
          <xm:sqref>D4:D85</xm:sqref>
        </x14:dataValidation>
        <x14:dataValidation type="list" allowBlank="1" showInputMessage="1" showErrorMessage="1" xr:uid="{B92A117E-7048-4CFB-A10A-4736246EC35A}">
          <x14:formula1>
            <xm:f>Action_Tracker_Data!$AA$4:$AA$13</xm:f>
          </x14:formula1>
          <xm:sqref>K4:K85</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97E58-3387-4700-9E4E-42A0AB3585AB}">
  <sheetPr>
    <tabColor rgb="FF600000"/>
  </sheetPr>
  <dimension ref="B1:K26"/>
  <sheetViews>
    <sheetView showGridLines="0" showRowColHeaders="0" topLeftCell="C1" zoomScale="84" zoomScaleNormal="84" workbookViewId="0">
      <selection activeCell="M6" sqref="M6"/>
    </sheetView>
  </sheetViews>
  <sheetFormatPr defaultRowHeight="14.5"/>
  <cols>
    <col min="1" max="1" width="27.81640625" customWidth="1"/>
    <col min="2" max="2" width="40.90625" style="8" customWidth="1"/>
    <col min="3" max="3" width="15" style="8" customWidth="1"/>
    <col min="4" max="5" width="26.1796875" style="8" customWidth="1"/>
    <col min="6" max="6" width="12.6328125" style="14" customWidth="1"/>
    <col min="7" max="7" width="23.81640625" style="8" customWidth="1"/>
    <col min="8" max="8" width="23.7265625" style="8" customWidth="1"/>
    <col min="9" max="9" width="16.26953125" style="8" customWidth="1"/>
    <col min="10" max="10" width="11.08984375" style="8" customWidth="1"/>
    <col min="11" max="11" width="13.6328125" customWidth="1"/>
  </cols>
  <sheetData>
    <row r="1" spans="2:11" ht="16">
      <c r="B1" s="10" t="s">
        <v>342</v>
      </c>
      <c r="F1" s="15"/>
    </row>
    <row r="2" spans="2:11">
      <c r="F2" s="15"/>
      <c r="K2" s="132">
        <f>COUNTIF(F4:F29,"Not Comply")</f>
        <v>0</v>
      </c>
    </row>
    <row r="3" spans="2:11" s="8" customFormat="1" ht="29.5" thickBot="1">
      <c r="B3" s="21" t="s">
        <v>115</v>
      </c>
      <c r="C3" s="21" t="s">
        <v>48</v>
      </c>
      <c r="D3" s="21" t="s">
        <v>57</v>
      </c>
      <c r="E3" s="21" t="s">
        <v>1812</v>
      </c>
      <c r="F3" s="21" t="s">
        <v>1410</v>
      </c>
      <c r="G3" s="21" t="s">
        <v>1845</v>
      </c>
      <c r="H3" s="21" t="s">
        <v>1846</v>
      </c>
      <c r="I3" s="21" t="s">
        <v>1847</v>
      </c>
      <c r="J3" s="21" t="s">
        <v>1848</v>
      </c>
      <c r="K3" s="132" t="s">
        <v>2036</v>
      </c>
    </row>
    <row r="4" spans="2:11" ht="58.5" thickTop="1">
      <c r="B4" s="32" t="s">
        <v>312</v>
      </c>
      <c r="C4" s="29" t="str">
        <f>IF(Home!B281=TRUE,"Applicable","Not Applicable")</f>
        <v>Not Applicable</v>
      </c>
      <c r="D4" s="29" t="s">
        <v>580</v>
      </c>
      <c r="E4" s="32" t="s">
        <v>838</v>
      </c>
      <c r="F4" s="22" t="str">
        <f t="shared" ref="F4:F26" si="0">IF(C4="Not Applicable","NA","Comply")</f>
        <v>NA</v>
      </c>
      <c r="G4" s="22" t="str">
        <f>IF(F4="not comply","Gaps to be stated here","")</f>
        <v/>
      </c>
      <c r="H4" s="22" t="str">
        <f>IF(F4="not comply","action to be stated here","")</f>
        <v/>
      </c>
      <c r="I4" s="22" t="str">
        <f>IF(F4="not comply","Name of PIC to be stated here","")</f>
        <v/>
      </c>
      <c r="J4" s="22" t="str">
        <f>IF(F4="not comply","action date to be stated here","")</f>
        <v/>
      </c>
      <c r="K4" s="14"/>
    </row>
    <row r="5" spans="2:11" ht="72.5">
      <c r="B5" s="22" t="s">
        <v>313</v>
      </c>
      <c r="C5" s="23" t="str">
        <f>C4</f>
        <v>Not Applicable</v>
      </c>
      <c r="D5" s="23" t="s">
        <v>580</v>
      </c>
      <c r="E5" s="22" t="s">
        <v>839</v>
      </c>
      <c r="F5" s="22" t="str">
        <f t="shared" si="0"/>
        <v>NA</v>
      </c>
      <c r="G5" s="22" t="str">
        <f t="shared" ref="G5:G24" si="1">IF(F5="not comply","Gaps to be stated here","")</f>
        <v/>
      </c>
      <c r="H5" s="22" t="str">
        <f t="shared" ref="H5:H26" si="2">IF(F5="not comply","action to be stated here","")</f>
        <v/>
      </c>
      <c r="I5" s="22" t="str">
        <f t="shared" ref="I5:I26" si="3">IF(F5="not comply","Name of PIC to be stated here","")</f>
        <v/>
      </c>
      <c r="J5" s="22" t="str">
        <f t="shared" ref="J5:J26" si="4">IF(F5="not comply","action date to be stated here","")</f>
        <v/>
      </c>
      <c r="K5" s="14"/>
    </row>
    <row r="6" spans="2:11" ht="58">
      <c r="B6" s="22" t="s">
        <v>314</v>
      </c>
      <c r="C6" s="23" t="str">
        <f t="shared" ref="C6:C26" si="5">C5</f>
        <v>Not Applicable</v>
      </c>
      <c r="D6" s="23" t="s">
        <v>580</v>
      </c>
      <c r="E6" s="22" t="s">
        <v>840</v>
      </c>
      <c r="F6" s="22" t="str">
        <f t="shared" si="0"/>
        <v>NA</v>
      </c>
      <c r="G6" s="22" t="str">
        <f t="shared" si="1"/>
        <v/>
      </c>
      <c r="H6" s="22" t="str">
        <f t="shared" si="2"/>
        <v/>
      </c>
      <c r="I6" s="22" t="str">
        <f t="shared" si="3"/>
        <v/>
      </c>
      <c r="J6" s="22" t="str">
        <f t="shared" si="4"/>
        <v/>
      </c>
      <c r="K6" s="14"/>
    </row>
    <row r="7" spans="2:11" ht="58">
      <c r="B7" s="22" t="s">
        <v>315</v>
      </c>
      <c r="C7" s="23" t="str">
        <f t="shared" si="5"/>
        <v>Not Applicable</v>
      </c>
      <c r="D7" s="23" t="s">
        <v>579</v>
      </c>
      <c r="E7" s="22" t="s">
        <v>841</v>
      </c>
      <c r="F7" s="22" t="str">
        <f t="shared" si="0"/>
        <v>NA</v>
      </c>
      <c r="G7" s="22" t="str">
        <f t="shared" si="1"/>
        <v/>
      </c>
      <c r="H7" s="22" t="str">
        <f t="shared" si="2"/>
        <v/>
      </c>
      <c r="I7" s="22" t="str">
        <f t="shared" si="3"/>
        <v/>
      </c>
      <c r="J7" s="22" t="str">
        <f t="shared" si="4"/>
        <v/>
      </c>
      <c r="K7" s="14"/>
    </row>
    <row r="8" spans="2:11" ht="58">
      <c r="B8" s="22" t="s">
        <v>316</v>
      </c>
      <c r="C8" s="23" t="str">
        <f t="shared" si="5"/>
        <v>Not Applicable</v>
      </c>
      <c r="D8" s="23" t="s">
        <v>579</v>
      </c>
      <c r="E8" s="22" t="s">
        <v>842</v>
      </c>
      <c r="F8" s="22" t="str">
        <f t="shared" si="0"/>
        <v>NA</v>
      </c>
      <c r="G8" s="22" t="str">
        <f t="shared" si="1"/>
        <v/>
      </c>
      <c r="H8" s="22" t="str">
        <f t="shared" si="2"/>
        <v/>
      </c>
      <c r="I8" s="22" t="str">
        <f t="shared" si="3"/>
        <v/>
      </c>
      <c r="J8" s="22" t="str">
        <f t="shared" si="4"/>
        <v/>
      </c>
      <c r="K8" s="14"/>
    </row>
    <row r="9" spans="2:11" ht="58">
      <c r="B9" s="22" t="s">
        <v>318</v>
      </c>
      <c r="C9" s="23" t="str">
        <f t="shared" si="5"/>
        <v>Not Applicable</v>
      </c>
      <c r="D9" s="23" t="s">
        <v>580</v>
      </c>
      <c r="E9" s="22" t="s">
        <v>843</v>
      </c>
      <c r="F9" s="22" t="str">
        <f t="shared" si="0"/>
        <v>NA</v>
      </c>
      <c r="G9" s="22" t="str">
        <f t="shared" si="1"/>
        <v/>
      </c>
      <c r="H9" s="22" t="str">
        <f t="shared" si="2"/>
        <v/>
      </c>
      <c r="I9" s="22" t="str">
        <f t="shared" si="3"/>
        <v/>
      </c>
      <c r="J9" s="22" t="str">
        <f t="shared" si="4"/>
        <v/>
      </c>
      <c r="K9" s="14"/>
    </row>
    <row r="10" spans="2:11" ht="58">
      <c r="B10" s="22" t="s">
        <v>319</v>
      </c>
      <c r="C10" s="23" t="str">
        <f t="shared" si="5"/>
        <v>Not Applicable</v>
      </c>
      <c r="D10" s="23" t="s">
        <v>580</v>
      </c>
      <c r="E10" s="22" t="s">
        <v>844</v>
      </c>
      <c r="F10" s="22" t="str">
        <f t="shared" si="0"/>
        <v>NA</v>
      </c>
      <c r="G10" s="22" t="str">
        <f t="shared" si="1"/>
        <v/>
      </c>
      <c r="H10" s="22" t="str">
        <f t="shared" si="2"/>
        <v/>
      </c>
      <c r="I10" s="22" t="str">
        <f t="shared" si="3"/>
        <v/>
      </c>
      <c r="J10" s="22" t="str">
        <f t="shared" si="4"/>
        <v/>
      </c>
      <c r="K10" s="14"/>
    </row>
    <row r="11" spans="2:11" ht="43.5">
      <c r="B11" s="22" t="s">
        <v>320</v>
      </c>
      <c r="C11" s="23" t="str">
        <f t="shared" si="5"/>
        <v>Not Applicable</v>
      </c>
      <c r="D11" s="23" t="s">
        <v>580</v>
      </c>
      <c r="E11" s="22" t="s">
        <v>845</v>
      </c>
      <c r="F11" s="22" t="str">
        <f t="shared" si="0"/>
        <v>NA</v>
      </c>
      <c r="G11" s="22" t="str">
        <f t="shared" si="1"/>
        <v/>
      </c>
      <c r="H11" s="22" t="str">
        <f t="shared" si="2"/>
        <v/>
      </c>
      <c r="I11" s="22" t="str">
        <f t="shared" si="3"/>
        <v/>
      </c>
      <c r="J11" s="22" t="str">
        <f t="shared" si="4"/>
        <v/>
      </c>
      <c r="K11" s="14"/>
    </row>
    <row r="12" spans="2:11" ht="58">
      <c r="B12" s="22" t="s">
        <v>321</v>
      </c>
      <c r="C12" s="23" t="str">
        <f t="shared" si="5"/>
        <v>Not Applicable</v>
      </c>
      <c r="D12" s="23" t="s">
        <v>580</v>
      </c>
      <c r="E12" s="22" t="s">
        <v>846</v>
      </c>
      <c r="F12" s="22" t="str">
        <f t="shared" si="0"/>
        <v>NA</v>
      </c>
      <c r="G12" s="22" t="str">
        <f t="shared" si="1"/>
        <v/>
      </c>
      <c r="H12" s="22" t="str">
        <f t="shared" si="2"/>
        <v/>
      </c>
      <c r="I12" s="22" t="str">
        <f t="shared" si="3"/>
        <v/>
      </c>
      <c r="J12" s="22" t="str">
        <f t="shared" si="4"/>
        <v/>
      </c>
      <c r="K12" s="14"/>
    </row>
    <row r="13" spans="2:11" ht="58">
      <c r="B13" s="22" t="s">
        <v>322</v>
      </c>
      <c r="C13" s="23" t="str">
        <f t="shared" si="5"/>
        <v>Not Applicable</v>
      </c>
      <c r="D13" s="23" t="s">
        <v>578</v>
      </c>
      <c r="E13" s="22" t="s">
        <v>847</v>
      </c>
      <c r="F13" s="22" t="str">
        <f t="shared" si="0"/>
        <v>NA</v>
      </c>
      <c r="G13" s="22" t="str">
        <f t="shared" si="1"/>
        <v/>
      </c>
      <c r="H13" s="22" t="str">
        <f t="shared" si="2"/>
        <v/>
      </c>
      <c r="I13" s="22" t="str">
        <f t="shared" si="3"/>
        <v/>
      </c>
      <c r="J13" s="22" t="str">
        <f t="shared" si="4"/>
        <v/>
      </c>
      <c r="K13" s="14"/>
    </row>
    <row r="14" spans="2:11" ht="58">
      <c r="B14" s="22" t="s">
        <v>323</v>
      </c>
      <c r="C14" s="23" t="str">
        <f t="shared" si="5"/>
        <v>Not Applicable</v>
      </c>
      <c r="D14" s="23" t="s">
        <v>580</v>
      </c>
      <c r="E14" s="22" t="s">
        <v>848</v>
      </c>
      <c r="F14" s="22" t="str">
        <f t="shared" si="0"/>
        <v>NA</v>
      </c>
      <c r="G14" s="22" t="str">
        <f t="shared" si="1"/>
        <v/>
      </c>
      <c r="H14" s="22" t="str">
        <f t="shared" si="2"/>
        <v/>
      </c>
      <c r="I14" s="22" t="str">
        <f t="shared" si="3"/>
        <v/>
      </c>
      <c r="J14" s="22" t="str">
        <f t="shared" si="4"/>
        <v/>
      </c>
      <c r="K14" s="14"/>
    </row>
    <row r="15" spans="2:11" ht="43.5">
      <c r="B15" s="22" t="s">
        <v>324</v>
      </c>
      <c r="C15" s="23" t="str">
        <f t="shared" si="5"/>
        <v>Not Applicable</v>
      </c>
      <c r="D15" s="23" t="s">
        <v>578</v>
      </c>
      <c r="E15" s="22" t="s">
        <v>849</v>
      </c>
      <c r="F15" s="22" t="str">
        <f t="shared" si="0"/>
        <v>NA</v>
      </c>
      <c r="G15" s="22" t="str">
        <f t="shared" si="1"/>
        <v/>
      </c>
      <c r="H15" s="22" t="str">
        <f t="shared" si="2"/>
        <v/>
      </c>
      <c r="I15" s="22" t="str">
        <f t="shared" si="3"/>
        <v/>
      </c>
      <c r="J15" s="22" t="str">
        <f t="shared" si="4"/>
        <v/>
      </c>
      <c r="K15" s="14"/>
    </row>
    <row r="16" spans="2:11" ht="58">
      <c r="B16" s="22" t="s">
        <v>325</v>
      </c>
      <c r="C16" s="23" t="str">
        <f t="shared" si="5"/>
        <v>Not Applicable</v>
      </c>
      <c r="D16" s="23" t="s">
        <v>578</v>
      </c>
      <c r="E16" s="22" t="s">
        <v>850</v>
      </c>
      <c r="F16" s="22" t="str">
        <f t="shared" si="0"/>
        <v>NA</v>
      </c>
      <c r="G16" s="22" t="str">
        <f t="shared" si="1"/>
        <v/>
      </c>
      <c r="H16" s="22" t="str">
        <f t="shared" si="2"/>
        <v/>
      </c>
      <c r="I16" s="22" t="str">
        <f t="shared" si="3"/>
        <v/>
      </c>
      <c r="J16" s="22" t="str">
        <f t="shared" si="4"/>
        <v/>
      </c>
      <c r="K16" s="14"/>
    </row>
    <row r="17" spans="2:11" ht="43.5">
      <c r="B17" s="22" t="s">
        <v>326</v>
      </c>
      <c r="C17" s="23" t="str">
        <f t="shared" si="5"/>
        <v>Not Applicable</v>
      </c>
      <c r="D17" s="23" t="s">
        <v>580</v>
      </c>
      <c r="E17" s="22" t="s">
        <v>851</v>
      </c>
      <c r="F17" s="22" t="str">
        <f t="shared" si="0"/>
        <v>NA</v>
      </c>
      <c r="G17" s="22" t="str">
        <f t="shared" si="1"/>
        <v/>
      </c>
      <c r="H17" s="22" t="str">
        <f t="shared" si="2"/>
        <v/>
      </c>
      <c r="I17" s="22" t="str">
        <f t="shared" si="3"/>
        <v/>
      </c>
      <c r="J17" s="22" t="str">
        <f t="shared" si="4"/>
        <v/>
      </c>
      <c r="K17" s="14"/>
    </row>
    <row r="18" spans="2:11" ht="29">
      <c r="B18" s="22" t="s">
        <v>327</v>
      </c>
      <c r="C18" s="23" t="str">
        <f t="shared" si="5"/>
        <v>Not Applicable</v>
      </c>
      <c r="D18" s="23" t="s">
        <v>580</v>
      </c>
      <c r="E18" s="22" t="s">
        <v>317</v>
      </c>
      <c r="F18" s="22" t="str">
        <f t="shared" si="0"/>
        <v>NA</v>
      </c>
      <c r="G18" s="22" t="str">
        <f t="shared" si="1"/>
        <v/>
      </c>
      <c r="H18" s="22" t="str">
        <f t="shared" si="2"/>
        <v/>
      </c>
      <c r="I18" s="22" t="str">
        <f t="shared" si="3"/>
        <v/>
      </c>
      <c r="J18" s="22" t="str">
        <f t="shared" si="4"/>
        <v/>
      </c>
      <c r="K18" s="14"/>
    </row>
    <row r="19" spans="2:11" ht="29">
      <c r="B19" s="22" t="s">
        <v>328</v>
      </c>
      <c r="C19" s="23" t="str">
        <f t="shared" si="5"/>
        <v>Not Applicable</v>
      </c>
      <c r="D19" s="23" t="s">
        <v>580</v>
      </c>
      <c r="E19" s="22" t="s">
        <v>329</v>
      </c>
      <c r="F19" s="22" t="str">
        <f t="shared" si="0"/>
        <v>NA</v>
      </c>
      <c r="G19" s="22" t="str">
        <f t="shared" si="1"/>
        <v/>
      </c>
      <c r="H19" s="22" t="str">
        <f t="shared" si="2"/>
        <v/>
      </c>
      <c r="I19" s="22" t="str">
        <f t="shared" si="3"/>
        <v/>
      </c>
      <c r="J19" s="22" t="str">
        <f t="shared" si="4"/>
        <v/>
      </c>
      <c r="K19" s="14"/>
    </row>
    <row r="20" spans="2:11" ht="29">
      <c r="B20" s="22" t="s">
        <v>330</v>
      </c>
      <c r="C20" s="23" t="str">
        <f t="shared" si="5"/>
        <v>Not Applicable</v>
      </c>
      <c r="D20" s="23" t="s">
        <v>580</v>
      </c>
      <c r="E20" s="22" t="s">
        <v>331</v>
      </c>
      <c r="F20" s="22" t="str">
        <f t="shared" si="0"/>
        <v>NA</v>
      </c>
      <c r="G20" s="22" t="str">
        <f t="shared" si="1"/>
        <v/>
      </c>
      <c r="H20" s="22" t="str">
        <f t="shared" si="2"/>
        <v/>
      </c>
      <c r="I20" s="22" t="str">
        <f t="shared" si="3"/>
        <v/>
      </c>
      <c r="J20" s="22" t="str">
        <f t="shared" si="4"/>
        <v/>
      </c>
      <c r="K20" s="14"/>
    </row>
    <row r="21" spans="2:11" ht="29">
      <c r="B21" s="22" t="s">
        <v>332</v>
      </c>
      <c r="C21" s="23" t="str">
        <f t="shared" si="5"/>
        <v>Not Applicable</v>
      </c>
      <c r="D21" s="23" t="s">
        <v>580</v>
      </c>
      <c r="E21" s="22" t="s">
        <v>333</v>
      </c>
      <c r="F21" s="22" t="str">
        <f t="shared" si="0"/>
        <v>NA</v>
      </c>
      <c r="G21" s="22" t="str">
        <f t="shared" si="1"/>
        <v/>
      </c>
      <c r="H21" s="22" t="str">
        <f t="shared" si="2"/>
        <v/>
      </c>
      <c r="I21" s="22" t="str">
        <f t="shared" si="3"/>
        <v/>
      </c>
      <c r="J21" s="22" t="str">
        <f t="shared" si="4"/>
        <v/>
      </c>
      <c r="K21" s="14"/>
    </row>
    <row r="22" spans="2:11" ht="29">
      <c r="B22" s="22" t="s">
        <v>334</v>
      </c>
      <c r="C22" s="23" t="str">
        <f t="shared" si="5"/>
        <v>Not Applicable</v>
      </c>
      <c r="D22" s="23" t="s">
        <v>580</v>
      </c>
      <c r="E22" s="22" t="s">
        <v>335</v>
      </c>
      <c r="F22" s="22" t="str">
        <f t="shared" si="0"/>
        <v>NA</v>
      </c>
      <c r="G22" s="22" t="str">
        <f t="shared" si="1"/>
        <v/>
      </c>
      <c r="H22" s="22" t="str">
        <f t="shared" si="2"/>
        <v/>
      </c>
      <c r="I22" s="22" t="str">
        <f t="shared" si="3"/>
        <v/>
      </c>
      <c r="J22" s="22" t="str">
        <f t="shared" si="4"/>
        <v/>
      </c>
      <c r="K22" s="14"/>
    </row>
    <row r="23" spans="2:11" ht="29">
      <c r="B23" s="22" t="s">
        <v>336</v>
      </c>
      <c r="C23" s="23" t="str">
        <f t="shared" si="5"/>
        <v>Not Applicable</v>
      </c>
      <c r="D23" s="23" t="s">
        <v>578</v>
      </c>
      <c r="E23" s="22" t="s">
        <v>337</v>
      </c>
      <c r="F23" s="22" t="str">
        <f t="shared" si="0"/>
        <v>NA</v>
      </c>
      <c r="G23" s="22" t="str">
        <f t="shared" si="1"/>
        <v/>
      </c>
      <c r="H23" s="22" t="str">
        <f t="shared" si="2"/>
        <v/>
      </c>
      <c r="I23" s="22" t="str">
        <f t="shared" si="3"/>
        <v/>
      </c>
      <c r="J23" s="22" t="str">
        <f t="shared" si="4"/>
        <v/>
      </c>
      <c r="K23" s="14"/>
    </row>
    <row r="24" spans="2:11" ht="29">
      <c r="B24" s="22" t="s">
        <v>338</v>
      </c>
      <c r="C24" s="23" t="str">
        <f t="shared" si="5"/>
        <v>Not Applicable</v>
      </c>
      <c r="D24" s="23" t="s">
        <v>580</v>
      </c>
      <c r="E24" s="22" t="s">
        <v>30</v>
      </c>
      <c r="F24" s="22" t="str">
        <f t="shared" si="0"/>
        <v>NA</v>
      </c>
      <c r="G24" s="22" t="str">
        <f t="shared" si="1"/>
        <v/>
      </c>
      <c r="H24" s="22" t="str">
        <f t="shared" si="2"/>
        <v/>
      </c>
      <c r="I24" s="22" t="str">
        <f t="shared" si="3"/>
        <v/>
      </c>
      <c r="J24" s="22" t="str">
        <f t="shared" si="4"/>
        <v/>
      </c>
      <c r="K24" s="14"/>
    </row>
    <row r="25" spans="2:11" ht="29">
      <c r="B25" s="22" t="s">
        <v>339</v>
      </c>
      <c r="C25" s="23" t="str">
        <f t="shared" si="5"/>
        <v>Not Applicable</v>
      </c>
      <c r="D25" s="23" t="s">
        <v>580</v>
      </c>
      <c r="E25" s="22" t="s">
        <v>340</v>
      </c>
      <c r="F25" s="22" t="str">
        <f t="shared" si="0"/>
        <v>NA</v>
      </c>
      <c r="G25" s="22" t="str">
        <f>IF(F25="not comply","Gaps to be stated here","")</f>
        <v/>
      </c>
      <c r="H25" s="22" t="str">
        <f t="shared" si="2"/>
        <v/>
      </c>
      <c r="I25" s="22" t="str">
        <f t="shared" si="3"/>
        <v/>
      </c>
      <c r="J25" s="22" t="str">
        <f t="shared" si="4"/>
        <v/>
      </c>
      <c r="K25" s="14"/>
    </row>
    <row r="26" spans="2:11" ht="29">
      <c r="B26" s="22" t="s">
        <v>341</v>
      </c>
      <c r="C26" s="23" t="str">
        <f t="shared" si="5"/>
        <v>Not Applicable</v>
      </c>
      <c r="D26" s="23" t="s">
        <v>580</v>
      </c>
      <c r="E26" s="22" t="s">
        <v>76</v>
      </c>
      <c r="F26" s="22" t="str">
        <f t="shared" si="0"/>
        <v>NA</v>
      </c>
      <c r="G26" s="22" t="str">
        <f>IF(F26="not comply","Gaps to be stated here","")</f>
        <v/>
      </c>
      <c r="H26" s="22" t="str">
        <f t="shared" si="2"/>
        <v/>
      </c>
      <c r="I26" s="22" t="str">
        <f t="shared" si="3"/>
        <v/>
      </c>
      <c r="J26" s="22" t="str">
        <f t="shared" si="4"/>
        <v/>
      </c>
      <c r="K26" s="14"/>
    </row>
  </sheetData>
  <conditionalFormatting sqref="C1:C1048576">
    <cfRule type="containsText" dxfId="9" priority="11" operator="containsText" text="Not Applicable">
      <formula>NOT(ISERROR(SEARCH("Not Applicable",C1)))</formula>
    </cfRule>
    <cfRule type="containsText" dxfId="8" priority="12" operator="containsText" text="Applicable">
      <formula>NOT(ISERROR(SEARCH("Applicable",C1)))</formula>
    </cfRule>
  </conditionalFormatting>
  <conditionalFormatting sqref="F4:F50">
    <cfRule type="containsText" dxfId="7" priority="7" operator="containsText" text="Not">
      <formula>NOT(ISERROR(SEARCH("Not",F4)))</formula>
    </cfRule>
    <cfRule type="containsText" dxfId="6" priority="8" operator="containsText" text="Comply">
      <formula>NOT(ISERROR(SEARCH("Comply",F4)))</formula>
    </cfRule>
  </conditionalFormatting>
  <conditionalFormatting sqref="G4:G26">
    <cfRule type="containsText" dxfId="5" priority="4" operator="containsText" text="Gaps to be stated here">
      <formula>NOT(ISERROR(SEARCH("Gaps to be stated here",G4)))</formula>
    </cfRule>
  </conditionalFormatting>
  <conditionalFormatting sqref="H4:H26">
    <cfRule type="containsText" dxfId="4" priority="5" operator="containsText" text="action to be stated here">
      <formula>NOT(ISERROR(SEARCH("action to be stated here",H4)))</formula>
    </cfRule>
  </conditionalFormatting>
  <conditionalFormatting sqref="I4:I26">
    <cfRule type="containsText" dxfId="3" priority="3" operator="containsText" text="Name of PIC to be stated here">
      <formula>NOT(ISERROR(SEARCH("Name of PIC to be stated here",I4)))</formula>
    </cfRule>
  </conditionalFormatting>
  <conditionalFormatting sqref="J4:J26">
    <cfRule type="containsText" dxfId="2" priority="2" operator="containsText" text="action date to be stated here">
      <formula>NOT(ISERROR(SEARCH("action date to be stated here",J4)))</formula>
    </cfRule>
  </conditionalFormatting>
  <conditionalFormatting sqref="K3">
    <cfRule type="expression" dxfId="1" priority="1">
      <formula>$K$2&gt;0</formula>
    </cfRule>
  </conditionalFormatting>
  <conditionalFormatting sqref="K4:K26">
    <cfRule type="expression" dxfId="0" priority="6">
      <formula>$K$2&gt;0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A66F6E14-7ACF-49EE-A53C-6D89BF63BB93}">
          <x14:formula1>
            <xm:f>'back-data'!$B$4:$B$6</xm:f>
          </x14:formula1>
          <xm:sqref>D4:D26</xm:sqref>
        </x14:dataValidation>
        <x14:dataValidation type="list" allowBlank="1" showInputMessage="1" showErrorMessage="1" xr:uid="{51B09457-D11E-437E-8FB9-5C082B1D50B9}">
          <x14:formula1>
            <xm:f>'back-data'!$B$13:$B$15</xm:f>
          </x14:formula1>
          <xm:sqref>F4:F26</xm:sqref>
        </x14:dataValidation>
        <x14:dataValidation type="list" allowBlank="1" showInputMessage="1" showErrorMessage="1" xr:uid="{7442A3BE-F8EC-4DE8-B2F2-B7FA8B6FA8C3}">
          <x14:formula1>
            <xm:f>Action_Tracker_Data!$AB$4:$AB$13</xm:f>
          </x14:formula1>
          <xm:sqref>K4:K26</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42E90-2296-4361-A712-21793525B46B}">
  <dimension ref="A1"/>
  <sheetViews>
    <sheetView workbookViewId="0">
      <selection activeCell="A21" sqref="A21"/>
    </sheetView>
  </sheetViews>
  <sheetFormatPr defaultRowHeight="1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11</vt:i4>
      </vt:variant>
    </vt:vector>
  </HeadingPairs>
  <TitlesOfParts>
    <vt:vector size="52" baseType="lpstr">
      <vt:lpstr>Main</vt:lpstr>
      <vt:lpstr>Home</vt:lpstr>
      <vt:lpstr>Dashboard</vt:lpstr>
      <vt:lpstr>Dashboard_Data</vt:lpstr>
      <vt:lpstr>back-data</vt:lpstr>
      <vt:lpstr>Action_Tracker</vt:lpstr>
      <vt:lpstr>Legal</vt:lpstr>
      <vt:lpstr>Abbreviation </vt:lpstr>
      <vt:lpstr>Dashboard_Input</vt:lpstr>
      <vt:lpstr>dashboard image</vt:lpstr>
      <vt:lpstr>Action_Tracker_Data</vt:lpstr>
      <vt:lpstr>OSHA</vt:lpstr>
      <vt:lpstr>EQA</vt:lpstr>
      <vt:lpstr>WSIA</vt:lpstr>
      <vt:lpstr>CIDB</vt:lpstr>
      <vt:lpstr>button</vt:lpstr>
      <vt:lpstr>Pesticides</vt:lpstr>
      <vt:lpstr>FSA</vt:lpstr>
      <vt:lpstr>sewerage</vt:lpstr>
      <vt:lpstr>diesel engine</vt:lpstr>
      <vt:lpstr>SW</vt:lpstr>
      <vt:lpstr>Control of Petrol &amp; Diesel</vt:lpstr>
      <vt:lpstr>solid waste</vt:lpstr>
      <vt:lpstr>clean air</vt:lpstr>
      <vt:lpstr>effluent</vt:lpstr>
      <vt:lpstr>USECHH</vt:lpstr>
      <vt:lpstr>CF</vt:lpstr>
      <vt:lpstr>pesticides labelling</vt:lpstr>
      <vt:lpstr>CLASS</vt:lpstr>
      <vt:lpstr>NADOPOD</vt:lpstr>
      <vt:lpstr>noise</vt:lpstr>
      <vt:lpstr>shc</vt:lpstr>
      <vt:lpstr>CDM</vt:lpstr>
      <vt:lpstr>FC</vt:lpstr>
      <vt:lpstr>sewage</vt:lpstr>
      <vt:lpstr>refrigerant</vt:lpstr>
      <vt:lpstr>sewerage system</vt:lpstr>
      <vt:lpstr>MHA</vt:lpstr>
      <vt:lpstr>UBBL</vt:lpstr>
      <vt:lpstr>ICOP Transport</vt:lpstr>
      <vt:lpstr>user manual</vt:lpstr>
      <vt:lpstr>'back-data'!Print_Area</vt:lpstr>
      <vt:lpstr>Home!Print_Area</vt:lpstr>
      <vt:lpstr>Priority_Legal_Areas_for_Management_Review</vt:lpstr>
      <vt:lpstr>Regulation_39___Appoint_a_competent_Site_Safety_Supervisor__SSS__to_assist_compliance_with_CDM_Regulations.</vt:lpstr>
      <vt:lpstr>Section_15___Maintain_workplace__access_and_egress_in_safe_condition</vt:lpstr>
      <vt:lpstr>Section_15___Provide_information__instruction__training_and_supervision_to_employees</vt:lpstr>
      <vt:lpstr>Section_17___Ensure_activities_do_not_expose_non_employees_to_safety_and_health_risks</vt:lpstr>
      <vt:lpstr>Section_18B___Conduct_and_implement_risk_assessment_at_workplace</vt:lpstr>
      <vt:lpstr>Section_29___Appointment_of_Safety_and_Health_Officer</vt:lpstr>
      <vt:lpstr>Section_29A___Appointment_of_OSH_Coordinator_at_workplace</vt:lpstr>
      <vt:lpstr>Section_30___Establish_Safety_and_Health_Committee_where_required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Daman Huri Mohammad</dc:creator>
  <cp:lastModifiedBy>Daman Huri Mohammad</cp:lastModifiedBy>
  <cp:lastPrinted>2026-09-20T14:40:35Z</cp:lastPrinted>
  <dcterms:created xsi:type="dcterms:W3CDTF">2026-03-18T08:41:49Z</dcterms:created>
  <dcterms:modified xsi:type="dcterms:W3CDTF">2026-09-20T15:24:12Z</dcterms:modified>
</cp:coreProperties>
</file>